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20" yWindow="65521" windowWidth="2430" windowHeight="5550" activeTab="0"/>
  </bookViews>
  <sheets>
    <sheet name="Introduction" sheetId="1" r:id="rId1"/>
    <sheet name="Input" sheetId="2" r:id="rId2"/>
    <sheet name="Design Summary" sheetId="3" r:id="rId3"/>
    <sheet name="Component sizing" sheetId="4" state="hidden" r:id="rId4"/>
    <sheet name="Calculations" sheetId="5" state="hidden" r:id="rId5"/>
  </sheets>
  <definedNames/>
  <calcPr fullCalcOnLoad="1"/>
</workbook>
</file>

<file path=xl/sharedStrings.xml><?xml version="1.0" encoding="utf-8"?>
<sst xmlns="http://schemas.openxmlformats.org/spreadsheetml/2006/main" count="279" uniqueCount="161">
  <si>
    <t>Drip Emitter Spacing</t>
  </si>
  <si>
    <t>Number of Zones</t>
  </si>
  <si>
    <t>Drip Tubing Spacing</t>
  </si>
  <si>
    <t>Soil Loading Rate</t>
  </si>
  <si>
    <t>Emitter Drip Rate</t>
  </si>
  <si>
    <t>Inches</t>
  </si>
  <si>
    <t>Square Feet</t>
  </si>
  <si>
    <t>Feet</t>
  </si>
  <si>
    <t>Linear Feet</t>
  </si>
  <si>
    <t>Minutes</t>
  </si>
  <si>
    <t>Total Dispersal Field Area</t>
  </si>
  <si>
    <t>Gallons / Day</t>
  </si>
  <si>
    <t>Gallons / Hour</t>
  </si>
  <si>
    <t>Gallons / Minute</t>
  </si>
  <si>
    <t>TOTAL FIELD</t>
  </si>
  <si>
    <t>FLOW PER ZONE</t>
  </si>
  <si>
    <t>DESIGN REQUIREMENTS</t>
  </si>
  <si>
    <t>Flush Velocity</t>
  </si>
  <si>
    <t>Feet / Second</t>
  </si>
  <si>
    <t>Number of Laterals</t>
  </si>
  <si>
    <t>Total Flow Required to Maintain Flushing Velocity</t>
  </si>
  <si>
    <t>Drip Field Pressure</t>
  </si>
  <si>
    <t>PSI</t>
  </si>
  <si>
    <t>Flow rate (GPM)</t>
  </si>
  <si>
    <t>Pipe Size (Inches)</t>
  </si>
  <si>
    <t>Pressure Drop (PSI)</t>
  </si>
  <si>
    <t>Return Manifold Size</t>
  </si>
  <si>
    <t>Pipe Sizing</t>
  </si>
  <si>
    <t>Invalid</t>
  </si>
  <si>
    <t>24 Inches is Standard</t>
  </si>
  <si>
    <t>Maximum Length of Run vs. Pressure</t>
  </si>
  <si>
    <t>Allows a minimum of 10 psi</t>
  </si>
  <si>
    <t>psi</t>
  </si>
  <si>
    <t>ft.</t>
  </si>
  <si>
    <t>24"</t>
  </si>
  <si>
    <t>Standard 1 GPH Drip Tubing</t>
  </si>
  <si>
    <t>Emitter Spacing</t>
  </si>
  <si>
    <t>Pressure</t>
  </si>
  <si>
    <t>Maximum Length of Each Drip Tubing Lateral Line</t>
  </si>
  <si>
    <t>Actual Length of Each Drip Tubing Lateral Line</t>
  </si>
  <si>
    <t>25 PSI Standard.  10 PSI Minimum, 45 PSI Maximum</t>
  </si>
  <si>
    <t>PUMP CALCULATIONS</t>
  </si>
  <si>
    <t>Total System Flow Required (plus 5%)</t>
  </si>
  <si>
    <t>Minimum Supply Line Flow Rate</t>
  </si>
  <si>
    <t>Minimum Return Line Flow Rate</t>
  </si>
  <si>
    <t>Pressure Loss in 100 Feet of Supply Line</t>
  </si>
  <si>
    <t>Pressure Loss in 100 Feet or Return Line</t>
  </si>
  <si>
    <t>Head Loss in 100 Feet of Supply Line</t>
  </si>
  <si>
    <t>Head Loss in 100 Feet of Return Line</t>
  </si>
  <si>
    <t>Static Head</t>
  </si>
  <si>
    <t>Height From Pump Outlet to Pump Tank Outlet</t>
  </si>
  <si>
    <t>Height From Pump Tank Outlet to Drip Field</t>
  </si>
  <si>
    <t>Total Static Head</t>
  </si>
  <si>
    <t>Equivalent Length of Fittings</t>
  </si>
  <si>
    <t>Friction Head (Supply Line)</t>
  </si>
  <si>
    <t>Distance From Pump Tank to Drip Field</t>
  </si>
  <si>
    <t>Length of Pipe From Pump Tank to Drip Field</t>
  </si>
  <si>
    <t>Total Supply Line Friction Head</t>
  </si>
  <si>
    <t>Friction Head (Return Line)</t>
  </si>
  <si>
    <t>Head Loss Based on Field Pressure</t>
  </si>
  <si>
    <t>Field Head</t>
  </si>
  <si>
    <t>Tubing Head</t>
  </si>
  <si>
    <t>Head Loss Through Drip Tubing</t>
  </si>
  <si>
    <t>Drip Tubing Head Loss</t>
  </si>
  <si>
    <t>Length of Lateral</t>
  </si>
  <si>
    <t>Head Loss (Feet)</t>
  </si>
  <si>
    <t>Headwork / Filter Assembly Head</t>
  </si>
  <si>
    <t>Head Loss Through Headworks Assembly</t>
  </si>
  <si>
    <t>Flow (GPM)</t>
  </si>
  <si>
    <t>Headworks / Filter Head Loss</t>
  </si>
  <si>
    <t>Total Dynamic Head</t>
  </si>
  <si>
    <t>Model HB105 Pump Performance</t>
  </si>
  <si>
    <t>Total Head (Feet)</t>
  </si>
  <si>
    <t>Pump Delivery (GPM)</t>
  </si>
  <si>
    <t>Based on Norweco Model HB105 Pump</t>
  </si>
  <si>
    <t>Based on Standard Norweco Drip Tubing</t>
  </si>
  <si>
    <t>PUMP TIMER SETTINGS</t>
  </si>
  <si>
    <t>Total Equivalent Length of Supply Line Pipe</t>
  </si>
  <si>
    <t>Total Equivalent Length of Return Line Pipe</t>
  </si>
  <si>
    <t>Total Return Line Friction Head</t>
  </si>
  <si>
    <t>Length of Pipe From Drip Field to Pump Tank</t>
  </si>
  <si>
    <t>Pipe ID (Inches)</t>
  </si>
  <si>
    <t>Pipe OD (Inches)</t>
  </si>
  <si>
    <t>Pipe Wall Thickness (Sch. 40) (Inches)</t>
  </si>
  <si>
    <t>Supply Line ID (Inches)</t>
  </si>
  <si>
    <t>Volume Calculations</t>
  </si>
  <si>
    <t>Return Line ID (Inches)</t>
  </si>
  <si>
    <t>Drip Tubing ID (Inches)</t>
  </si>
  <si>
    <t>Volume Contained in Supply Lines (Gallons)</t>
  </si>
  <si>
    <t>Volume Contained in Return Lines (Gallons)</t>
  </si>
  <si>
    <t>Volume of Tubing (Gallons)</t>
  </si>
  <si>
    <t>Total Volume (Gallons)</t>
  </si>
  <si>
    <t>Total Drip Tubing Required</t>
  </si>
  <si>
    <t>Total Doses per Day</t>
  </si>
  <si>
    <t>Tubing Required per Zone</t>
  </si>
  <si>
    <t>Dispersal Area per Zone</t>
  </si>
  <si>
    <t>Total Number of Emitters per Zone</t>
  </si>
  <si>
    <t>Dose Rate per Zone</t>
  </si>
  <si>
    <t>Flush Flow Required per Drip Line</t>
  </si>
  <si>
    <t>Gallons per Minute</t>
  </si>
  <si>
    <t>Doses per Zone per Day</t>
  </si>
  <si>
    <t>Total Dose Time per Day</t>
  </si>
  <si>
    <t>Dose Time per Zone per Day</t>
  </si>
  <si>
    <t>Time per Dose</t>
  </si>
  <si>
    <t>Total Quantity of Effluent to be Disposed per Day</t>
  </si>
  <si>
    <t>Time Required to Pressurize Drip Field</t>
  </si>
  <si>
    <t>Based on a Single Pump Timer and Alternated Zones</t>
  </si>
  <si>
    <t>Rounded up to nearest 1/4 minute</t>
  </si>
  <si>
    <t xml:space="preserve">Project Name:  </t>
  </si>
  <si>
    <t xml:space="preserve">Contact Name:  </t>
  </si>
  <si>
    <t xml:space="preserve">Prepared By:  </t>
  </si>
  <si>
    <t xml:space="preserve">Date:  </t>
  </si>
  <si>
    <t>Fill in all fields highlighted in yellow.</t>
  </si>
  <si>
    <t>Fields highlighted in blue are automatically calculated.</t>
  </si>
  <si>
    <t>Fields highlighted in red indicate a design problem that must be addressed.</t>
  </si>
  <si>
    <t>Gallons / Square Foot / Day</t>
  </si>
  <si>
    <t>SYSTEM PARAMETERS</t>
  </si>
  <si>
    <t>ZONE PARAMETERS</t>
  </si>
  <si>
    <t>Supply Manifold Size</t>
  </si>
  <si>
    <t>Total Friction Loss</t>
  </si>
  <si>
    <t>Minimum Pump Delivery</t>
  </si>
  <si>
    <t>COMPONENT PARAMETERS</t>
  </si>
  <si>
    <t>PUMP PARAMETERS</t>
  </si>
  <si>
    <t>Drip Tubing Lateral Line Length</t>
  </si>
  <si>
    <t>Drip Tubing per Zone</t>
  </si>
  <si>
    <t>DRIP IRRIGATION DESIGN SUMMARY</t>
  </si>
  <si>
    <t xml:space="preserve">INVALID DESIGN     </t>
  </si>
  <si>
    <t>Errors</t>
  </si>
  <si>
    <t>DESIGN ERROR</t>
  </si>
  <si>
    <t>2 Feet / Second is Standard</t>
  </si>
  <si>
    <t>Pressure Out of Range</t>
  </si>
  <si>
    <t>Laterals Too Long</t>
  </si>
  <si>
    <t>Pump Rate Exceeded</t>
  </si>
  <si>
    <t>Daily Flow Rate Exceeded</t>
  </si>
  <si>
    <t>Does an Error Exist?</t>
  </si>
  <si>
    <t>Err?</t>
  </si>
  <si>
    <t>Maximum Number of Zones Exceeded</t>
  </si>
  <si>
    <t>K-Rain 4 Outlet Valve Head Loss</t>
  </si>
  <si>
    <t>GPM</t>
  </si>
  <si>
    <t>K-Rain 6 Outlet Valve Head Loss</t>
  </si>
  <si>
    <t>K-Rain Zone Valve Head Loss</t>
  </si>
  <si>
    <t>Zones</t>
  </si>
  <si>
    <t>Head Loss</t>
  </si>
  <si>
    <t>Zone Valve Head</t>
  </si>
  <si>
    <t>Maximum Area Exceeded</t>
  </si>
  <si>
    <t>Head Loss Through Zone Indexing Valve</t>
  </si>
  <si>
    <t>Introduction</t>
  </si>
  <si>
    <t>Subsurface Drip Effluent Disposal</t>
  </si>
  <si>
    <t>System Design Calculator</t>
  </si>
  <si>
    <t>Maximum is 6 Zones</t>
  </si>
  <si>
    <r>
      <t>Norweco Singulair</t>
    </r>
    <r>
      <rPr>
        <b/>
        <vertAlign val="superscript"/>
        <sz val="14"/>
        <rFont val="Arial"/>
        <family val="2"/>
      </rPr>
      <t>®</t>
    </r>
  </si>
  <si>
    <t>Pump "On" Time Setting</t>
  </si>
  <si>
    <t>Pump "Off" Time Setting</t>
  </si>
  <si>
    <t>Maximum Daily Flow is 1,500 Gallons per Day</t>
  </si>
  <si>
    <t>Invalid pump time</t>
  </si>
  <si>
    <t>Total Dynamic Head (TDH)</t>
  </si>
  <si>
    <t>Actual Pump Delivery Based on Calculated TDH</t>
  </si>
  <si>
    <r>
      <t>Using the Design Calculator will result in hydraulically balanced effluent drip disposal system designs for flow rates up to 1,500 gallons per day and soil hydraulic loading rates from 0.050 to 1.400 gallons/square foot/day.  Formulas and values are based on the installation of a Singulair</t>
    </r>
    <r>
      <rPr>
        <b/>
        <vertAlign val="superscript"/>
        <sz val="12"/>
        <rFont val="Arial"/>
        <family val="2"/>
      </rPr>
      <t>®</t>
    </r>
    <r>
      <rPr>
        <b/>
        <sz val="12"/>
        <rFont val="Arial"/>
        <family val="2"/>
      </rPr>
      <t xml:space="preserve"> Bio-Kinetic</t>
    </r>
    <r>
      <rPr>
        <b/>
        <vertAlign val="superscript"/>
        <sz val="12"/>
        <rFont val="Arial"/>
        <family val="2"/>
      </rPr>
      <t>®</t>
    </r>
    <r>
      <rPr>
        <b/>
        <sz val="12"/>
        <rFont val="Arial"/>
        <family val="2"/>
      </rPr>
      <t xml:space="preserve"> wastewater treatment plant properly sized for the application, Norweco drip emitter tubing with a flow rate of 1.02 gallons per hour, Norweco headworks assembly, Norweco zone indexing valves and a Norweco Model HB105 submersible pump.</t>
    </r>
  </si>
  <si>
    <t xml:space="preserve">Drip field designs produced by the calculator will not exceed 12,000 square feet and will not include more than six zones. For applications that require larger fields or more zones, consult with a design professional familiar with the installation and operation of subsurface drip effluent disposal systems.    The calculator has been prepared to provide general guidance only and is not intended to contradict or replace the design criteria contained in state regulations or local codes that govern onsite effluent disposal.        </t>
  </si>
  <si>
    <t>Maximum Area is 12,000 Square Feet</t>
  </si>
  <si>
    <t>Updated 4-17-2008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</si>
</sst>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 ?/?"/>
    <numFmt numFmtId="166" formatCode="#\-?/?"/>
    <numFmt numFmtId="167" formatCode="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6"/>
      <name val="Arial"/>
      <family val="2"/>
    </font>
    <font>
      <b/>
      <sz val="22"/>
      <color indexed="9"/>
      <name val="Arial"/>
      <family val="2"/>
    </font>
    <font>
      <sz val="10"/>
      <color indexed="9"/>
      <name val="Arial"/>
      <family val="2"/>
    </font>
    <font>
      <b/>
      <sz val="26"/>
      <color indexed="9"/>
      <name val="Arial"/>
      <family val="2"/>
    </font>
    <font>
      <b/>
      <sz val="10"/>
      <color indexed="9"/>
      <name val="Arial"/>
      <family val="2"/>
    </font>
    <font>
      <b/>
      <u val="single"/>
      <sz val="14"/>
      <color indexed="9"/>
      <name val="Arial"/>
      <family val="2"/>
    </font>
    <font>
      <sz val="12"/>
      <name val="Arial"/>
      <family val="2"/>
    </font>
    <font>
      <b/>
      <sz val="12"/>
      <name val="Arial"/>
      <family val="2"/>
    </font>
    <font>
      <b/>
      <sz val="14"/>
      <name val="Arial"/>
      <family val="2"/>
    </font>
    <font>
      <i/>
      <sz val="10"/>
      <name val="Arial"/>
      <family val="2"/>
    </font>
    <font>
      <b/>
      <vertAlign val="superscript"/>
      <sz val="14"/>
      <name val="Arial"/>
      <family val="2"/>
    </font>
    <font>
      <b/>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1" fontId="0" fillId="0" borderId="0" xfId="0" applyNumberFormat="1" applyAlignment="1">
      <alignment/>
    </xf>
    <xf numFmtId="4" fontId="0" fillId="0" borderId="0" xfId="0" applyNumberFormat="1" applyAlignment="1">
      <alignment/>
    </xf>
    <xf numFmtId="0" fontId="0" fillId="0" borderId="0" xfId="0" applyFont="1" applyAlignment="1">
      <alignment/>
    </xf>
    <xf numFmtId="0" fontId="0" fillId="0" borderId="0" xfId="0" applyAlignment="1">
      <alignment horizontal="center"/>
    </xf>
    <xf numFmtId="0" fontId="0" fillId="0" borderId="10" xfId="0" applyBorder="1" applyAlignment="1">
      <alignment/>
    </xf>
    <xf numFmtId="2" fontId="0" fillId="0" borderId="10" xfId="0" applyNumberFormat="1" applyBorder="1" applyAlignment="1">
      <alignment/>
    </xf>
    <xf numFmtId="0" fontId="4" fillId="0" borderId="10" xfId="0" applyFont="1" applyBorder="1" applyAlignment="1">
      <alignment horizontal="center"/>
    </xf>
    <xf numFmtId="12" fontId="4" fillId="0" borderId="10" xfId="0" applyNumberFormat="1" applyFont="1" applyBorder="1" applyAlignment="1">
      <alignment horizontal="center"/>
    </xf>
    <xf numFmtId="0" fontId="4" fillId="0" borderId="10" xfId="0" applyFont="1" applyFill="1" applyBorder="1" applyAlignment="1">
      <alignment horizontal="center"/>
    </xf>
    <xf numFmtId="0" fontId="0" fillId="0" borderId="0" xfId="0" applyBorder="1" applyAlignment="1">
      <alignment/>
    </xf>
    <xf numFmtId="2" fontId="0" fillId="0" borderId="0" xfId="0" applyNumberFormat="1" applyBorder="1" applyAlignment="1">
      <alignment/>
    </xf>
    <xf numFmtId="2" fontId="0" fillId="0" borderId="10" xfId="0" applyNumberFormat="1" applyFill="1" applyBorder="1" applyAlignment="1">
      <alignment/>
    </xf>
    <xf numFmtId="2" fontId="0" fillId="0" borderId="0" xfId="0" applyNumberFormat="1" applyFill="1" applyBorder="1" applyAlignment="1">
      <alignment/>
    </xf>
    <xf numFmtId="2" fontId="4" fillId="0" borderId="10" xfId="0" applyNumberFormat="1" applyFont="1" applyBorder="1" applyAlignment="1">
      <alignment horizontal="center"/>
    </xf>
    <xf numFmtId="0" fontId="5" fillId="0" borderId="0" xfId="0" applyFont="1" applyFill="1" applyAlignment="1">
      <alignment/>
    </xf>
    <xf numFmtId="0" fontId="5"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167" fontId="4" fillId="0" borderId="10" xfId="0" applyNumberFormat="1" applyFont="1" applyBorder="1" applyAlignment="1">
      <alignment horizontal="center"/>
    </xf>
    <xf numFmtId="0" fontId="0" fillId="0" borderId="11" xfId="0" applyBorder="1" applyAlignment="1">
      <alignment/>
    </xf>
    <xf numFmtId="2"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0" xfId="0" applyFont="1" applyBorder="1" applyAlignment="1">
      <alignment/>
    </xf>
    <xf numFmtId="0" fontId="0" fillId="0" borderId="14" xfId="0" applyBorder="1" applyAlignment="1">
      <alignment/>
    </xf>
    <xf numFmtId="1"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15" xfId="0" applyNumberFormat="1" applyBorder="1" applyAlignment="1">
      <alignment/>
    </xf>
    <xf numFmtId="0" fontId="0" fillId="0" borderId="18" xfId="0" applyBorder="1" applyAlignment="1">
      <alignment/>
    </xf>
    <xf numFmtId="0" fontId="4" fillId="0" borderId="0" xfId="0" applyFont="1" applyBorder="1" applyAlignment="1">
      <alignment/>
    </xf>
    <xf numFmtId="2" fontId="0" fillId="0" borderId="15" xfId="0" applyNumberFormat="1" applyBorder="1" applyAlignment="1">
      <alignment/>
    </xf>
    <xf numFmtId="4" fontId="0" fillId="0" borderId="0" xfId="0" applyNumberFormat="1" applyBorder="1" applyAlignment="1">
      <alignment/>
    </xf>
    <xf numFmtId="4" fontId="0" fillId="0" borderId="14" xfId="0" applyNumberFormat="1" applyBorder="1" applyAlignment="1">
      <alignment/>
    </xf>
    <xf numFmtId="4" fontId="0" fillId="0" borderId="17" xfId="0" applyNumberFormat="1" applyBorder="1" applyAlignment="1">
      <alignment/>
    </xf>
    <xf numFmtId="4" fontId="0" fillId="0" borderId="15" xfId="0" applyNumberFormat="1" applyBorder="1" applyAlignment="1">
      <alignment/>
    </xf>
    <xf numFmtId="3" fontId="0" fillId="0" borderId="15" xfId="0" applyNumberFormat="1" applyBorder="1" applyAlignment="1">
      <alignment/>
    </xf>
    <xf numFmtId="4" fontId="0" fillId="0" borderId="16" xfId="0" applyNumberFormat="1" applyBorder="1" applyAlignment="1">
      <alignment/>
    </xf>
    <xf numFmtId="0" fontId="0" fillId="0" borderId="10" xfId="0" applyFont="1" applyBorder="1" applyAlignment="1">
      <alignment horizontal="center"/>
    </xf>
    <xf numFmtId="12" fontId="0" fillId="0" borderId="10" xfId="0" applyNumberFormat="1" applyFont="1" applyBorder="1" applyAlignment="1">
      <alignment horizontal="center"/>
    </xf>
    <xf numFmtId="2" fontId="0" fillId="0" borderId="10" xfId="0" applyNumberFormat="1" applyFont="1" applyBorder="1" applyAlignment="1">
      <alignment horizontal="center"/>
    </xf>
    <xf numFmtId="167" fontId="0" fillId="0" borderId="10" xfId="0" applyNumberFormat="1" applyFont="1" applyBorder="1" applyAlignment="1">
      <alignment horizontal="center"/>
    </xf>
    <xf numFmtId="0" fontId="0" fillId="0" borderId="0" xfId="0" applyFont="1" applyAlignment="1">
      <alignment horizontal="center"/>
    </xf>
    <xf numFmtId="12" fontId="0" fillId="0" borderId="0" xfId="0" applyNumberFormat="1" applyFont="1" applyAlignment="1">
      <alignment horizontal="center"/>
    </xf>
    <xf numFmtId="2" fontId="0" fillId="0" borderId="0" xfId="0" applyNumberFormat="1" applyFont="1" applyAlignment="1">
      <alignment horizontal="center"/>
    </xf>
    <xf numFmtId="2" fontId="0" fillId="0" borderId="0" xfId="0" applyNumberFormat="1" applyFont="1" applyFill="1" applyAlignment="1">
      <alignment horizontal="center"/>
    </xf>
    <xf numFmtId="0" fontId="0" fillId="0" borderId="10" xfId="0" applyFont="1" applyFill="1" applyBorder="1" applyAlignment="1">
      <alignment horizontal="center" vertical="top" wrapText="1"/>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horizontal="center"/>
    </xf>
    <xf numFmtId="167" fontId="0" fillId="0" borderId="0" xfId="0" applyNumberFormat="1" applyFont="1" applyAlignment="1">
      <alignment horizontal="center"/>
    </xf>
    <xf numFmtId="0" fontId="4" fillId="0" borderId="0" xfId="0" applyFont="1" applyBorder="1" applyAlignment="1">
      <alignment/>
    </xf>
    <xf numFmtId="0" fontId="4" fillId="0" borderId="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xf>
    <xf numFmtId="2" fontId="0" fillId="0" borderId="10" xfId="0" applyNumberFormat="1" applyFont="1" applyBorder="1" applyAlignment="1">
      <alignment/>
    </xf>
    <xf numFmtId="0" fontId="0" fillId="0" borderId="0" xfId="0" applyFill="1" applyBorder="1" applyAlignment="1">
      <alignment/>
    </xf>
    <xf numFmtId="1" fontId="0" fillId="0" borderId="11" xfId="0" applyNumberFormat="1" applyBorder="1" applyAlignment="1">
      <alignment/>
    </xf>
    <xf numFmtId="0" fontId="0" fillId="0" borderId="0" xfId="0" applyAlignment="1">
      <alignment horizontal="right"/>
    </xf>
    <xf numFmtId="3" fontId="0" fillId="33" borderId="10" xfId="0" applyNumberFormat="1" applyFill="1" applyBorder="1" applyAlignment="1">
      <alignment/>
    </xf>
    <xf numFmtId="1" fontId="0" fillId="33" borderId="10" xfId="0" applyNumberFormat="1" applyFill="1" applyBorder="1" applyAlignment="1">
      <alignment/>
    </xf>
    <xf numFmtId="2" fontId="0" fillId="33" borderId="10" xfId="0" applyNumberFormat="1" applyFill="1" applyBorder="1" applyAlignment="1">
      <alignment/>
    </xf>
    <xf numFmtId="166" fontId="0" fillId="33" borderId="10" xfId="0" applyNumberFormat="1" applyFill="1" applyBorder="1" applyAlignment="1">
      <alignment/>
    </xf>
    <xf numFmtId="167" fontId="0" fillId="33" borderId="10" xfId="0" applyNumberFormat="1" applyFill="1" applyBorder="1" applyAlignment="1">
      <alignment/>
    </xf>
    <xf numFmtId="0" fontId="7" fillId="0" borderId="0" xfId="0" applyFont="1" applyAlignment="1">
      <alignment/>
    </xf>
    <xf numFmtId="0" fontId="4" fillId="0" borderId="10" xfId="0" applyFont="1" applyBorder="1" applyAlignment="1">
      <alignment/>
    </xf>
    <xf numFmtId="0" fontId="9" fillId="0" borderId="0" xfId="0" applyFont="1" applyBorder="1" applyAlignment="1">
      <alignment/>
    </xf>
    <xf numFmtId="0" fontId="7" fillId="0" borderId="0" xfId="0" applyFont="1" applyBorder="1" applyAlignment="1">
      <alignment/>
    </xf>
    <xf numFmtId="4" fontId="7" fillId="0" borderId="0" xfId="0" applyNumberFormat="1" applyFont="1" applyBorder="1" applyAlignment="1">
      <alignment/>
    </xf>
    <xf numFmtId="4" fontId="9" fillId="0" borderId="0" xfId="0" applyNumberFormat="1" applyFont="1" applyBorder="1" applyAlignment="1">
      <alignment/>
    </xf>
    <xf numFmtId="0" fontId="7" fillId="0" borderId="0" xfId="0" applyFont="1" applyFill="1" applyBorder="1" applyAlignment="1">
      <alignment/>
    </xf>
    <xf numFmtId="3" fontId="7" fillId="0" borderId="0" xfId="0" applyNumberFormat="1" applyFont="1" applyBorder="1" applyAlignment="1">
      <alignment/>
    </xf>
    <xf numFmtId="164" fontId="7" fillId="0" borderId="0" xfId="0" applyNumberFormat="1" applyFont="1" applyBorder="1" applyAlignment="1">
      <alignment/>
    </xf>
    <xf numFmtId="1" fontId="7" fillId="0" borderId="0" xfId="0" applyNumberFormat="1" applyFont="1" applyBorder="1" applyAlignment="1">
      <alignment/>
    </xf>
    <xf numFmtId="2" fontId="7" fillId="0" borderId="0" xfId="0" applyNumberFormat="1" applyFont="1" applyBorder="1" applyAlignment="1">
      <alignment/>
    </xf>
    <xf numFmtId="12" fontId="7" fillId="0" borderId="0" xfId="0" applyNumberFormat="1" applyFont="1" applyBorder="1" applyAlignment="1">
      <alignment/>
    </xf>
    <xf numFmtId="0" fontId="7" fillId="0" borderId="13" xfId="0" applyFont="1" applyBorder="1" applyAlignment="1">
      <alignment/>
    </xf>
    <xf numFmtId="3" fontId="0" fillId="34" borderId="10" xfId="0" applyNumberFormat="1" applyFill="1" applyBorder="1" applyAlignment="1" applyProtection="1">
      <alignment/>
      <protection locked="0"/>
    </xf>
    <xf numFmtId="164" fontId="0" fillId="34" borderId="10" xfId="0" applyNumberFormat="1" applyFill="1" applyBorder="1" applyAlignment="1" applyProtection="1">
      <alignment/>
      <protection locked="0"/>
    </xf>
    <xf numFmtId="1" fontId="0" fillId="34" borderId="10" xfId="0" applyNumberFormat="1" applyFill="1" applyBorder="1" applyAlignment="1" applyProtection="1">
      <alignment/>
      <protection locked="0"/>
    </xf>
    <xf numFmtId="0" fontId="0" fillId="0" borderId="19" xfId="0" applyBorder="1" applyAlignment="1" applyProtection="1">
      <alignment horizontal="center"/>
      <protection locked="0"/>
    </xf>
    <xf numFmtId="14" fontId="0" fillId="0" borderId="19" xfId="0" applyNumberFormat="1" applyBorder="1" applyAlignment="1" applyProtection="1">
      <alignment horizontal="center"/>
      <protection locked="0"/>
    </xf>
    <xf numFmtId="0" fontId="4" fillId="0" borderId="0" xfId="0" applyFont="1" applyAlignment="1">
      <alignment horizontal="center"/>
    </xf>
    <xf numFmtId="3" fontId="7" fillId="0" borderId="13" xfId="0" applyNumberFormat="1" applyFont="1" applyBorder="1" applyAlignment="1">
      <alignment/>
    </xf>
    <xf numFmtId="0" fontId="11" fillId="0" borderId="0" xfId="0" applyFont="1" applyAlignment="1">
      <alignment/>
    </xf>
    <xf numFmtId="0" fontId="12" fillId="0" borderId="0" xfId="0" applyFont="1" applyAlignment="1">
      <alignment/>
    </xf>
    <xf numFmtId="2" fontId="0" fillId="33" borderId="10" xfId="0" applyNumberFormat="1" applyFill="1" applyBorder="1" applyAlignment="1" applyProtection="1">
      <alignment/>
      <protection/>
    </xf>
    <xf numFmtId="0" fontId="0" fillId="0" borderId="10" xfId="0" applyFont="1" applyFill="1" applyBorder="1" applyAlignment="1">
      <alignment horizontal="center"/>
    </xf>
    <xf numFmtId="0" fontId="0" fillId="0" borderId="0" xfId="0" applyFont="1" applyFill="1" applyAlignment="1">
      <alignment/>
    </xf>
    <xf numFmtId="0" fontId="14" fillId="0" borderId="0" xfId="0" applyFont="1" applyAlignment="1">
      <alignment horizontal="right"/>
    </xf>
    <xf numFmtId="0" fontId="0" fillId="0" borderId="0" xfId="0" applyAlignment="1">
      <alignment/>
    </xf>
    <xf numFmtId="0" fontId="12" fillId="0" borderId="0" xfId="0" applyFont="1" applyAlignment="1">
      <alignment horizontal="justify" wrapText="1"/>
    </xf>
    <xf numFmtId="0" fontId="4" fillId="0" borderId="0" xfId="0" applyFont="1" applyAlignment="1">
      <alignment horizontal="justify" wrapText="1"/>
    </xf>
    <xf numFmtId="0" fontId="13" fillId="0" borderId="0" xfId="0" applyFont="1" applyAlignment="1">
      <alignment horizontal="center"/>
    </xf>
    <xf numFmtId="0" fontId="12" fillId="0" borderId="0" xfId="0" applyFont="1" applyAlignment="1">
      <alignment horizontal="center" wrapText="1"/>
    </xf>
    <xf numFmtId="0" fontId="4" fillId="0" borderId="0" xfId="0" applyFont="1" applyAlignment="1">
      <alignment horizontal="center" wrapText="1"/>
    </xf>
    <xf numFmtId="0" fontId="8"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4" fillId="0" borderId="20" xfId="0" applyFont="1" applyFill="1" applyBorder="1" applyAlignment="1">
      <alignment horizontal="center"/>
    </xf>
    <xf numFmtId="0" fontId="4" fillId="0" borderId="21" xfId="0" applyFont="1" applyBorder="1" applyAlignment="1">
      <alignment horizontal="center"/>
    </xf>
    <xf numFmtId="0" fontId="4" fillId="0" borderId="10" xfId="0" applyFont="1" applyBorder="1" applyAlignment="1">
      <alignment/>
    </xf>
    <xf numFmtId="0" fontId="4" fillId="0" borderId="0" xfId="0" applyFont="1" applyFill="1" applyAlignment="1">
      <alignment vertical="top" wrapText="1"/>
    </xf>
    <xf numFmtId="0" fontId="0"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8"/>
      </font>
      <border>
        <left>
          <color indexed="63"/>
        </left>
        <right>
          <color indexed="63"/>
        </right>
        <top>
          <color indexed="63"/>
        </top>
        <bottom style="thin"/>
      </border>
    </dxf>
    <dxf>
      <font>
        <color indexed="8"/>
      </font>
      <border>
        <left/>
        <right/>
        <top/>
        <bottom/>
      </border>
    </dxf>
    <dxf>
      <font>
        <color indexed="8"/>
      </font>
    </dxf>
    <dxf>
      <font>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rgb="FF000000"/>
      </font>
      <border>
        <left>
          <color rgb="FF000000"/>
        </left>
        <right>
          <color rgb="FF000000"/>
        </right>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6</xdr:col>
      <xdr:colOff>171450</xdr:colOff>
      <xdr:row>5</xdr:row>
      <xdr:rowOff>123825</xdr:rowOff>
    </xdr:to>
    <xdr:pic>
      <xdr:nvPicPr>
        <xdr:cNvPr id="1" name="Picture 1" descr="Norweco logo color"/>
        <xdr:cNvPicPr preferRelativeResize="1">
          <a:picLocks noChangeAspect="1"/>
        </xdr:cNvPicPr>
      </xdr:nvPicPr>
      <xdr:blipFill>
        <a:blip r:embed="rId1"/>
        <a:stretch>
          <a:fillRect/>
        </a:stretch>
      </xdr:blipFill>
      <xdr:spPr>
        <a:xfrm>
          <a:off x="523875" y="171450"/>
          <a:ext cx="26003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4</xdr:col>
      <xdr:colOff>2162175</xdr:colOff>
      <xdr:row>7</xdr:row>
      <xdr:rowOff>0</xdr:rowOff>
    </xdr:to>
    <xdr:pic>
      <xdr:nvPicPr>
        <xdr:cNvPr id="1" name="Picture 2" descr="Norweco logo color"/>
        <xdr:cNvPicPr preferRelativeResize="1">
          <a:picLocks noChangeAspect="1"/>
        </xdr:cNvPicPr>
      </xdr:nvPicPr>
      <xdr:blipFill>
        <a:blip r:embed="rId1"/>
        <a:stretch>
          <a:fillRect/>
        </a:stretch>
      </xdr:blipFill>
      <xdr:spPr>
        <a:xfrm>
          <a:off x="523875" y="171450"/>
          <a:ext cx="26003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9525</xdr:rowOff>
    </xdr:from>
    <xdr:to>
      <xdr:col>3</xdr:col>
      <xdr:colOff>2390775</xdr:colOff>
      <xdr:row>7</xdr:row>
      <xdr:rowOff>0</xdr:rowOff>
    </xdr:to>
    <xdr:pic>
      <xdr:nvPicPr>
        <xdr:cNvPr id="1" name="Picture 1" descr="Norweco logo color"/>
        <xdr:cNvPicPr preferRelativeResize="1">
          <a:picLocks noChangeAspect="1"/>
        </xdr:cNvPicPr>
      </xdr:nvPicPr>
      <xdr:blipFill>
        <a:blip r:embed="rId1"/>
        <a:stretch>
          <a:fillRect/>
        </a:stretch>
      </xdr:blipFill>
      <xdr:spPr>
        <a:xfrm>
          <a:off x="533400" y="171450"/>
          <a:ext cx="25812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K18"/>
  <sheetViews>
    <sheetView showGridLines="0" showRowColHeaders="0" tabSelected="1" zoomScale="115" zoomScaleNormal="115" zoomScalePageLayoutView="0" workbookViewId="0" topLeftCell="A1">
      <selection activeCell="J2" sqref="J2:K2"/>
    </sheetView>
  </sheetViews>
  <sheetFormatPr defaultColWidth="9.140625" defaultRowHeight="12.75"/>
  <cols>
    <col min="1" max="1" width="4.7109375" style="0" customWidth="1"/>
    <col min="2" max="2" width="3.00390625" style="0" customWidth="1"/>
  </cols>
  <sheetData>
    <row r="2" spans="10:11" ht="12.75">
      <c r="J2" s="92" t="s">
        <v>160</v>
      </c>
      <c r="K2" s="93"/>
    </row>
    <row r="9" spans="2:11" ht="21">
      <c r="B9" s="96" t="s">
        <v>150</v>
      </c>
      <c r="C9" s="96"/>
      <c r="D9" s="96"/>
      <c r="E9" s="96"/>
      <c r="F9" s="96"/>
      <c r="G9" s="96"/>
      <c r="H9" s="96"/>
      <c r="I9" s="96"/>
      <c r="J9" s="96"/>
      <c r="K9" s="96"/>
    </row>
    <row r="10" spans="2:11" ht="20.25" customHeight="1">
      <c r="B10" s="97" t="s">
        <v>147</v>
      </c>
      <c r="C10" s="98"/>
      <c r="D10" s="98"/>
      <c r="E10" s="98"/>
      <c r="F10" s="98"/>
      <c r="G10" s="98"/>
      <c r="H10" s="98"/>
      <c r="I10" s="98"/>
      <c r="J10" s="98"/>
      <c r="K10" s="98"/>
    </row>
    <row r="11" spans="2:11" ht="15.75" customHeight="1">
      <c r="B11" s="97" t="s">
        <v>148</v>
      </c>
      <c r="C11" s="98"/>
      <c r="D11" s="98"/>
      <c r="E11" s="98"/>
      <c r="F11" s="98"/>
      <c r="G11" s="98"/>
      <c r="H11" s="98"/>
      <c r="I11" s="98"/>
      <c r="J11" s="98"/>
      <c r="K11" s="98"/>
    </row>
    <row r="14" spans="2:11" ht="15.75">
      <c r="B14" s="88" t="s">
        <v>146</v>
      </c>
      <c r="C14" s="3"/>
      <c r="D14" s="3"/>
      <c r="E14" s="3"/>
      <c r="F14" s="3"/>
      <c r="G14" s="3"/>
      <c r="H14" s="3"/>
      <c r="I14" s="3"/>
      <c r="J14" s="3"/>
      <c r="K14" s="3"/>
    </row>
    <row r="15" spans="2:11" ht="15">
      <c r="B15" s="87"/>
      <c r="C15" s="3"/>
      <c r="D15" s="3"/>
      <c r="E15" s="3"/>
      <c r="F15" s="3"/>
      <c r="G15" s="3"/>
      <c r="H15" s="3"/>
      <c r="I15" s="3"/>
      <c r="J15" s="3"/>
      <c r="K15" s="3"/>
    </row>
    <row r="16" spans="2:11" ht="128.25" customHeight="1">
      <c r="B16" s="94" t="s">
        <v>157</v>
      </c>
      <c r="C16" s="95"/>
      <c r="D16" s="95"/>
      <c r="E16" s="95"/>
      <c r="F16" s="95"/>
      <c r="G16" s="95"/>
      <c r="H16" s="95"/>
      <c r="I16" s="95"/>
      <c r="J16" s="95"/>
      <c r="K16" s="95"/>
    </row>
    <row r="17" spans="2:11" ht="15">
      <c r="B17" s="87"/>
      <c r="C17" s="3"/>
      <c r="D17" s="3"/>
      <c r="E17" s="3"/>
      <c r="F17" s="3"/>
      <c r="G17" s="3"/>
      <c r="H17" s="3"/>
      <c r="I17" s="3"/>
      <c r="J17" s="3"/>
      <c r="K17" s="3"/>
    </row>
    <row r="18" spans="2:11" ht="111.75" customHeight="1">
      <c r="B18" s="94" t="s">
        <v>158</v>
      </c>
      <c r="C18" s="95"/>
      <c r="D18" s="95"/>
      <c r="E18" s="95"/>
      <c r="F18" s="95"/>
      <c r="G18" s="95"/>
      <c r="H18" s="95"/>
      <c r="I18" s="95"/>
      <c r="J18" s="95"/>
      <c r="K18" s="95"/>
    </row>
  </sheetData>
  <sheetProtection password="E1D9" sheet="1" objects="1" scenarios="1" selectLockedCells="1" selectUnlockedCells="1"/>
  <mergeCells count="6">
    <mergeCell ref="J2:K2"/>
    <mergeCell ref="B16:K16"/>
    <mergeCell ref="B18:K18"/>
    <mergeCell ref="B9:K9"/>
    <mergeCell ref="B10:K10"/>
    <mergeCell ref="B11:K11"/>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107"/>
  <sheetViews>
    <sheetView showGridLines="0" showRowColHeaders="0" zoomScale="70" zoomScaleNormal="70" zoomScalePageLayoutView="0" workbookViewId="0" topLeftCell="B1">
      <selection activeCell="I2" sqref="I2"/>
    </sheetView>
  </sheetViews>
  <sheetFormatPr defaultColWidth="9.140625" defaultRowHeight="12.75"/>
  <cols>
    <col min="1" max="1" width="4.7109375" style="0" customWidth="1"/>
    <col min="2" max="2" width="3.00390625" style="0" customWidth="1"/>
    <col min="3" max="3" width="3.57421875" style="0" customWidth="1"/>
    <col min="4" max="4" width="3.140625" style="0" customWidth="1"/>
    <col min="5" max="5" width="58.7109375" style="0" customWidth="1"/>
    <col min="6" max="6" width="12.8515625" style="0" customWidth="1"/>
    <col min="7" max="7" width="1.421875" style="0" customWidth="1"/>
    <col min="8" max="8" width="25.140625" style="0" customWidth="1"/>
    <col min="9" max="9" width="47.00390625" style="0" customWidth="1"/>
    <col min="10" max="10" width="13.421875" style="0" customWidth="1"/>
  </cols>
  <sheetData>
    <row r="1" ht="12.75">
      <c r="B1" s="67">
        <f>Calculations!C20</f>
        <v>0</v>
      </c>
    </row>
    <row r="2" spans="8:9" ht="12.75">
      <c r="H2" s="61" t="s">
        <v>108</v>
      </c>
      <c r="I2" s="83"/>
    </row>
    <row r="3" ht="7.5" customHeight="1">
      <c r="I3" s="4"/>
    </row>
    <row r="4" spans="8:9" ht="12.75">
      <c r="H4" s="61" t="s">
        <v>109</v>
      </c>
      <c r="I4" s="83"/>
    </row>
    <row r="5" ht="7.5" customHeight="1">
      <c r="I5" s="4"/>
    </row>
    <row r="6" spans="8:9" ht="12.75">
      <c r="H6" s="61" t="s">
        <v>110</v>
      </c>
      <c r="I6" s="83"/>
    </row>
    <row r="7" ht="7.5" customHeight="1">
      <c r="I7" s="4"/>
    </row>
    <row r="8" spans="8:9" ht="12.75">
      <c r="H8" s="61" t="s">
        <v>111</v>
      </c>
      <c r="I8" s="84"/>
    </row>
    <row r="9" spans="2:9" ht="32.25" customHeight="1">
      <c r="B9" s="99" t="s">
        <v>128</v>
      </c>
      <c r="C9" s="100"/>
      <c r="D9" s="100"/>
      <c r="E9" s="100"/>
      <c r="F9" s="100"/>
      <c r="G9" s="100"/>
      <c r="H9" s="100"/>
      <c r="I9" s="100"/>
    </row>
    <row r="10" spans="3:9" ht="12.75">
      <c r="C10" t="s">
        <v>112</v>
      </c>
      <c r="I10" s="91"/>
    </row>
    <row r="11" ht="12.75">
      <c r="C11" t="s">
        <v>113</v>
      </c>
    </row>
    <row r="12" ht="12.75">
      <c r="C12" t="s">
        <v>114</v>
      </c>
    </row>
    <row r="13" ht="13.5" thickBot="1"/>
    <row r="14" spans="3:9" ht="12.75">
      <c r="C14" s="31"/>
      <c r="D14" s="20"/>
      <c r="E14" s="20"/>
      <c r="F14" s="20"/>
      <c r="G14" s="20"/>
      <c r="H14" s="20"/>
      <c r="I14" s="22"/>
    </row>
    <row r="15" spans="3:9" ht="12.75">
      <c r="C15" s="23"/>
      <c r="D15" s="32" t="s">
        <v>14</v>
      </c>
      <c r="E15" s="10"/>
      <c r="F15" s="10"/>
      <c r="G15" s="10"/>
      <c r="H15" s="10"/>
      <c r="I15" s="25"/>
    </row>
    <row r="16" spans="3:9" ht="12.75">
      <c r="C16" s="79">
        <f>Calculations!C13</f>
        <v>0</v>
      </c>
      <c r="D16" s="10"/>
      <c r="E16" s="10" t="s">
        <v>104</v>
      </c>
      <c r="F16" s="80">
        <v>500</v>
      </c>
      <c r="G16" s="10"/>
      <c r="H16" s="10" t="s">
        <v>11</v>
      </c>
      <c r="I16" s="25" t="s">
        <v>153</v>
      </c>
    </row>
    <row r="17" spans="3:9" ht="12.75">
      <c r="C17" s="23"/>
      <c r="D17" s="10"/>
      <c r="E17" s="10" t="s">
        <v>3</v>
      </c>
      <c r="F17" s="81">
        <v>0.4</v>
      </c>
      <c r="G17" s="10"/>
      <c r="H17" s="10" t="s">
        <v>115</v>
      </c>
      <c r="I17" s="25"/>
    </row>
    <row r="18" spans="3:9" s="2" customFormat="1" ht="12.75">
      <c r="C18" s="86">
        <f>Calculations!C18</f>
        <v>0</v>
      </c>
      <c r="D18" s="34"/>
      <c r="E18" s="34" t="s">
        <v>10</v>
      </c>
      <c r="F18" s="62">
        <f>F16/F17</f>
        <v>1250</v>
      </c>
      <c r="G18" s="34"/>
      <c r="H18" s="34" t="s">
        <v>6</v>
      </c>
      <c r="I18" s="35" t="s">
        <v>159</v>
      </c>
    </row>
    <row r="19" spans="3:9" s="2" customFormat="1" ht="13.5" thickBot="1">
      <c r="C19" s="36"/>
      <c r="D19" s="37"/>
      <c r="E19" s="37"/>
      <c r="F19" s="38"/>
      <c r="G19" s="37"/>
      <c r="H19" s="37"/>
      <c r="I19" s="39"/>
    </row>
    <row r="20" ht="13.5" thickBot="1"/>
    <row r="21" spans="3:9" ht="12.75">
      <c r="C21" s="31"/>
      <c r="D21" s="20"/>
      <c r="E21" s="20"/>
      <c r="F21" s="20"/>
      <c r="G21" s="20"/>
      <c r="H21" s="20"/>
      <c r="I21" s="22"/>
    </row>
    <row r="22" spans="3:9" ht="12.75">
      <c r="C22" s="23"/>
      <c r="D22" s="32" t="s">
        <v>15</v>
      </c>
      <c r="E22" s="10"/>
      <c r="F22" s="10"/>
      <c r="G22" s="10"/>
      <c r="H22" s="10"/>
      <c r="I22" s="25"/>
    </row>
    <row r="23" spans="3:9" ht="12.75">
      <c r="C23" s="79">
        <f>Calculations!C17</f>
        <v>0</v>
      </c>
      <c r="D23" s="10"/>
      <c r="E23" s="10" t="s">
        <v>1</v>
      </c>
      <c r="F23" s="82">
        <v>1</v>
      </c>
      <c r="G23" s="10"/>
      <c r="H23" s="10"/>
      <c r="I23" s="25" t="s">
        <v>149</v>
      </c>
    </row>
    <row r="24" spans="3:9" ht="12.75">
      <c r="C24" s="23"/>
      <c r="D24" s="10"/>
      <c r="E24" s="10" t="s">
        <v>95</v>
      </c>
      <c r="F24" s="63">
        <f>F18/F23</f>
        <v>1250</v>
      </c>
      <c r="G24" s="10"/>
      <c r="H24" s="34" t="s">
        <v>6</v>
      </c>
      <c r="I24" s="25"/>
    </row>
    <row r="25" spans="3:9" ht="12.75">
      <c r="C25" s="23"/>
      <c r="D25" s="10"/>
      <c r="E25" s="10" t="s">
        <v>2</v>
      </c>
      <c r="F25" s="82">
        <v>24</v>
      </c>
      <c r="G25" s="10"/>
      <c r="H25" s="10" t="s">
        <v>5</v>
      </c>
      <c r="I25" s="25" t="s">
        <v>29</v>
      </c>
    </row>
    <row r="26" spans="3:9" ht="12.75">
      <c r="C26" s="23"/>
      <c r="D26" s="10"/>
      <c r="E26" s="10" t="s">
        <v>0</v>
      </c>
      <c r="F26" s="63">
        <v>24</v>
      </c>
      <c r="G26" s="10"/>
      <c r="H26" s="10" t="s">
        <v>5</v>
      </c>
      <c r="I26" s="25" t="s">
        <v>75</v>
      </c>
    </row>
    <row r="27" spans="3:9" ht="12.75">
      <c r="C27" s="23"/>
      <c r="D27" s="10"/>
      <c r="E27" s="10" t="s">
        <v>94</v>
      </c>
      <c r="F27" s="62">
        <f>F24/(F25/12)</f>
        <v>625</v>
      </c>
      <c r="G27" s="10"/>
      <c r="H27" s="10" t="s">
        <v>8</v>
      </c>
      <c r="I27" s="25"/>
    </row>
    <row r="28" spans="3:9" ht="12.75">
      <c r="C28" s="23"/>
      <c r="D28" s="10"/>
      <c r="E28" s="59" t="s">
        <v>92</v>
      </c>
      <c r="F28" s="62">
        <f>F27*F23</f>
        <v>625</v>
      </c>
      <c r="G28" s="10"/>
      <c r="H28" s="59" t="s">
        <v>8</v>
      </c>
      <c r="I28" s="25"/>
    </row>
    <row r="29" spans="3:9" ht="12.75">
      <c r="C29" s="23"/>
      <c r="D29" s="10"/>
      <c r="E29" s="10" t="s">
        <v>96</v>
      </c>
      <c r="F29" s="62">
        <f>F27/(F26/12)</f>
        <v>312.5</v>
      </c>
      <c r="G29" s="10"/>
      <c r="H29" s="10"/>
      <c r="I29" s="25"/>
    </row>
    <row r="30" spans="3:9" ht="12.75">
      <c r="C30" s="23"/>
      <c r="D30" s="10"/>
      <c r="E30" s="10" t="s">
        <v>4</v>
      </c>
      <c r="F30" s="64">
        <v>1.02</v>
      </c>
      <c r="G30" s="10"/>
      <c r="H30" s="10" t="s">
        <v>12</v>
      </c>
      <c r="I30" s="25" t="s">
        <v>75</v>
      </c>
    </row>
    <row r="31" spans="3:9" ht="12.75">
      <c r="C31" s="23"/>
      <c r="D31" s="10"/>
      <c r="E31" s="10" t="s">
        <v>97</v>
      </c>
      <c r="F31" s="64">
        <f>(F29*F30)/60</f>
        <v>5.3125</v>
      </c>
      <c r="G31" s="10"/>
      <c r="H31" s="10" t="s">
        <v>13</v>
      </c>
      <c r="I31" s="25"/>
    </row>
    <row r="32" spans="3:9" ht="13.5" thickBot="1">
      <c r="C32" s="29"/>
      <c r="D32" s="27"/>
      <c r="E32" s="27"/>
      <c r="F32" s="27"/>
      <c r="G32" s="27"/>
      <c r="H32" s="27"/>
      <c r="I32" s="28"/>
    </row>
    <row r="33" ht="13.5" thickBot="1">
      <c r="F33" s="10"/>
    </row>
    <row r="34" spans="3:9" ht="12.75">
      <c r="C34" s="31"/>
      <c r="D34" s="20"/>
      <c r="E34" s="20"/>
      <c r="F34" s="21"/>
      <c r="G34" s="20"/>
      <c r="H34" s="20"/>
      <c r="I34" s="22"/>
    </row>
    <row r="35" spans="3:9" ht="12.75">
      <c r="C35" s="23"/>
      <c r="D35" s="32" t="s">
        <v>16</v>
      </c>
      <c r="E35" s="10"/>
      <c r="F35" s="11"/>
      <c r="G35" s="10"/>
      <c r="H35" s="10"/>
      <c r="I35" s="25"/>
    </row>
    <row r="36" spans="3:9" ht="12.75">
      <c r="C36" s="23"/>
      <c r="D36" s="10"/>
      <c r="E36" s="24" t="s">
        <v>21</v>
      </c>
      <c r="F36" s="82">
        <v>25</v>
      </c>
      <c r="G36" s="10"/>
      <c r="H36" s="10" t="s">
        <v>22</v>
      </c>
      <c r="I36" s="25" t="s">
        <v>40</v>
      </c>
    </row>
    <row r="37" spans="3:9" ht="12.75">
      <c r="C37" s="23"/>
      <c r="D37" s="10"/>
      <c r="E37" s="10" t="s">
        <v>17</v>
      </c>
      <c r="F37" s="89">
        <v>2</v>
      </c>
      <c r="G37" s="10"/>
      <c r="H37" s="10" t="s">
        <v>18</v>
      </c>
      <c r="I37" s="25" t="s">
        <v>129</v>
      </c>
    </row>
    <row r="38" spans="3:9" ht="12.75">
      <c r="C38" s="23"/>
      <c r="D38" s="10"/>
      <c r="E38" s="10" t="s">
        <v>19</v>
      </c>
      <c r="F38" s="82">
        <v>5</v>
      </c>
      <c r="G38" s="10"/>
      <c r="H38" s="10"/>
      <c r="I38" s="25"/>
    </row>
    <row r="39" spans="3:9" ht="12.75">
      <c r="C39" s="23"/>
      <c r="D39" s="10"/>
      <c r="E39" s="10" t="s">
        <v>38</v>
      </c>
      <c r="F39" s="63">
        <f>VLOOKUP(ROUNDUP(F36,0),'Component sizing'!A61:C96,3)</f>
        <v>315</v>
      </c>
      <c r="G39" s="10"/>
      <c r="H39" s="10" t="s">
        <v>7</v>
      </c>
      <c r="I39" s="25"/>
    </row>
    <row r="40" spans="3:9" ht="12.75">
      <c r="C40" s="23"/>
      <c r="D40" s="10"/>
      <c r="E40" s="10" t="s">
        <v>39</v>
      </c>
      <c r="F40" s="63">
        <f>ROUND((F27/F38),0)</f>
        <v>125</v>
      </c>
      <c r="G40" s="10"/>
      <c r="H40" s="10" t="s">
        <v>7</v>
      </c>
      <c r="I40" s="25"/>
    </row>
    <row r="41" spans="3:9" ht="12.75">
      <c r="C41" s="23"/>
      <c r="D41" s="10"/>
      <c r="E41" s="10" t="s">
        <v>98</v>
      </c>
      <c r="F41" s="64">
        <f>F37*(((0.55/12)^2)*3.14/4)*7.48*60</f>
        <v>1.4801829166666671</v>
      </c>
      <c r="G41" s="10"/>
      <c r="H41" s="10" t="s">
        <v>13</v>
      </c>
      <c r="I41" s="25"/>
    </row>
    <row r="42" spans="3:9" ht="12.75">
      <c r="C42" s="23"/>
      <c r="D42" s="10"/>
      <c r="E42" s="10" t="s">
        <v>20</v>
      </c>
      <c r="F42" s="64">
        <f>F41*F38</f>
        <v>7.400914583333336</v>
      </c>
      <c r="G42" s="10"/>
      <c r="H42" s="10" t="s">
        <v>13</v>
      </c>
      <c r="I42" s="25"/>
    </row>
    <row r="43" spans="3:9" ht="12.75">
      <c r="C43" s="23"/>
      <c r="D43" s="10"/>
      <c r="E43" s="10" t="s">
        <v>42</v>
      </c>
      <c r="F43" s="64">
        <f>(F42+F31)*1.05</f>
        <v>13.349085312500003</v>
      </c>
      <c r="G43" s="10"/>
      <c r="H43" s="10" t="s">
        <v>13</v>
      </c>
      <c r="I43" s="25"/>
    </row>
    <row r="44" spans="3:9" ht="13.5" thickBot="1">
      <c r="C44" s="29"/>
      <c r="D44" s="27"/>
      <c r="E44" s="27"/>
      <c r="F44" s="33"/>
      <c r="G44" s="27"/>
      <c r="H44" s="27"/>
      <c r="I44" s="28"/>
    </row>
    <row r="45" spans="5:8" ht="13.5" thickBot="1">
      <c r="E45" s="10"/>
      <c r="F45" s="11"/>
      <c r="G45" s="10"/>
      <c r="H45" s="10"/>
    </row>
    <row r="46" spans="3:9" ht="12.75">
      <c r="C46" s="31"/>
      <c r="D46" s="20"/>
      <c r="E46" s="20"/>
      <c r="F46" s="21"/>
      <c r="G46" s="20"/>
      <c r="H46" s="20"/>
      <c r="I46" s="22"/>
    </row>
    <row r="47" spans="3:9" ht="12.75">
      <c r="C47" s="23"/>
      <c r="D47" s="32" t="s">
        <v>41</v>
      </c>
      <c r="E47" s="10"/>
      <c r="F47" s="11"/>
      <c r="G47" s="10"/>
      <c r="H47" s="10"/>
      <c r="I47" s="25"/>
    </row>
    <row r="48" spans="3:9" ht="12.75" hidden="1">
      <c r="C48" s="23"/>
      <c r="D48" s="10"/>
      <c r="E48" s="24" t="s">
        <v>43</v>
      </c>
      <c r="F48" s="6">
        <f>F43</f>
        <v>13.349085312500003</v>
      </c>
      <c r="G48" s="10"/>
      <c r="H48" s="10" t="s">
        <v>13</v>
      </c>
      <c r="I48" s="25"/>
    </row>
    <row r="49" spans="3:9" ht="12.75">
      <c r="C49" s="23"/>
      <c r="D49" s="10"/>
      <c r="E49" s="10" t="s">
        <v>118</v>
      </c>
      <c r="F49" s="65">
        <f>VLOOKUP(ROUND(F43,0),'Component sizing'!A3:B53,2)</f>
        <v>1.5</v>
      </c>
      <c r="G49" s="10"/>
      <c r="H49" s="10" t="s">
        <v>5</v>
      </c>
      <c r="I49" s="25"/>
    </row>
    <row r="50" spans="3:9" ht="12.75" hidden="1">
      <c r="C50" s="23"/>
      <c r="D50" s="10"/>
      <c r="E50" s="10" t="s">
        <v>45</v>
      </c>
      <c r="F50" s="64">
        <f>VLOOKUP(ROUND(F43,0),'Component sizing'!A3:C53,3)</f>
        <v>0.52</v>
      </c>
      <c r="G50" s="10"/>
      <c r="H50" s="10" t="s">
        <v>22</v>
      </c>
      <c r="I50" s="25"/>
    </row>
    <row r="51" spans="3:9" ht="12.75" hidden="1">
      <c r="C51" s="23"/>
      <c r="D51" s="10"/>
      <c r="E51" s="10" t="s">
        <v>47</v>
      </c>
      <c r="F51" s="64">
        <f>F50*2.31</f>
        <v>1.2012</v>
      </c>
      <c r="G51" s="10"/>
      <c r="H51" s="10" t="s">
        <v>7</v>
      </c>
      <c r="I51" s="25"/>
    </row>
    <row r="52" spans="3:9" ht="12.75" hidden="1">
      <c r="C52" s="23"/>
      <c r="D52" s="10"/>
      <c r="E52" s="10" t="s">
        <v>44</v>
      </c>
      <c r="F52" s="64">
        <f>F48-F31</f>
        <v>8.036585312500003</v>
      </c>
      <c r="G52" s="10"/>
      <c r="H52" s="10" t="s">
        <v>13</v>
      </c>
      <c r="I52" s="25"/>
    </row>
    <row r="53" spans="3:9" ht="12.75">
      <c r="C53" s="23"/>
      <c r="D53" s="10"/>
      <c r="E53" s="10" t="s">
        <v>26</v>
      </c>
      <c r="F53" s="65">
        <f>VLOOKUP((ROUND((F52),0)),'Component sizing'!A3:B53,2)</f>
        <v>1</v>
      </c>
      <c r="G53" s="10"/>
      <c r="H53" s="10" t="s">
        <v>5</v>
      </c>
      <c r="I53" s="25"/>
    </row>
    <row r="54" spans="3:9" ht="12.75" hidden="1">
      <c r="C54" s="23"/>
      <c r="D54" s="10"/>
      <c r="E54" s="10" t="s">
        <v>46</v>
      </c>
      <c r="F54" s="12">
        <f>VLOOKUP((ROUND((F52),0)),'Component sizing'!A3:C53,3)</f>
        <v>1.58</v>
      </c>
      <c r="G54" s="10"/>
      <c r="H54" s="10" t="s">
        <v>22</v>
      </c>
      <c r="I54" s="25"/>
    </row>
    <row r="55" spans="3:9" ht="12.75" hidden="1">
      <c r="C55" s="23"/>
      <c r="D55" s="10"/>
      <c r="E55" s="10" t="s">
        <v>48</v>
      </c>
      <c r="F55" s="12">
        <f>F54*2.31</f>
        <v>3.6498000000000004</v>
      </c>
      <c r="G55" s="10"/>
      <c r="H55" s="10" t="s">
        <v>7</v>
      </c>
      <c r="I55" s="25"/>
    </row>
    <row r="56" spans="3:9" ht="12.75">
      <c r="C56" s="23"/>
      <c r="D56" s="10"/>
      <c r="E56" s="10" t="s">
        <v>55</v>
      </c>
      <c r="F56" s="82">
        <v>200</v>
      </c>
      <c r="G56" s="10"/>
      <c r="H56" s="10" t="s">
        <v>7</v>
      </c>
      <c r="I56" s="25"/>
    </row>
    <row r="57" spans="3:9" ht="12.75">
      <c r="C57" s="23"/>
      <c r="D57" s="10"/>
      <c r="E57" s="10"/>
      <c r="F57" s="13"/>
      <c r="G57" s="10"/>
      <c r="H57" s="10"/>
      <c r="I57" s="25"/>
    </row>
    <row r="58" spans="3:9" ht="12.75">
      <c r="C58" s="23"/>
      <c r="D58" s="32" t="s">
        <v>60</v>
      </c>
      <c r="E58" s="10"/>
      <c r="F58" s="13"/>
      <c r="G58" s="10"/>
      <c r="H58" s="10"/>
      <c r="I58" s="25"/>
    </row>
    <row r="59" spans="3:9" ht="12.75">
      <c r="C59" s="23"/>
      <c r="D59" s="10"/>
      <c r="E59" s="10" t="s">
        <v>59</v>
      </c>
      <c r="F59" s="64">
        <f>F36*2.31</f>
        <v>57.75</v>
      </c>
      <c r="G59" s="10"/>
      <c r="H59" s="10" t="s">
        <v>7</v>
      </c>
      <c r="I59" s="25"/>
    </row>
    <row r="60" spans="3:9" ht="12.75">
      <c r="C60" s="23"/>
      <c r="D60" s="10"/>
      <c r="E60" s="10"/>
      <c r="F60" s="13"/>
      <c r="G60" s="10"/>
      <c r="H60" s="10"/>
      <c r="I60" s="25"/>
    </row>
    <row r="61" spans="3:9" ht="12.75">
      <c r="C61" s="23"/>
      <c r="D61" s="32" t="s">
        <v>49</v>
      </c>
      <c r="E61" s="10"/>
      <c r="F61" s="26"/>
      <c r="G61" s="10"/>
      <c r="H61" s="10"/>
      <c r="I61" s="25"/>
    </row>
    <row r="62" spans="3:9" ht="12.75">
      <c r="C62" s="23"/>
      <c r="D62" s="10"/>
      <c r="E62" s="10" t="s">
        <v>50</v>
      </c>
      <c r="F62" s="82">
        <v>5</v>
      </c>
      <c r="G62" s="10"/>
      <c r="H62" s="10" t="s">
        <v>7</v>
      </c>
      <c r="I62" s="25"/>
    </row>
    <row r="63" spans="3:9" ht="12.75">
      <c r="C63" s="23"/>
      <c r="D63" s="10"/>
      <c r="E63" s="10" t="s">
        <v>51</v>
      </c>
      <c r="F63" s="82">
        <v>25</v>
      </c>
      <c r="G63" s="10"/>
      <c r="H63" s="10" t="s">
        <v>7</v>
      </c>
      <c r="I63" s="25"/>
    </row>
    <row r="64" spans="3:9" ht="12.75">
      <c r="C64" s="23"/>
      <c r="D64" s="10"/>
      <c r="E64" s="10" t="s">
        <v>52</v>
      </c>
      <c r="F64" s="63">
        <f>F63+F62</f>
        <v>30</v>
      </c>
      <c r="G64" s="10"/>
      <c r="H64" s="10" t="s">
        <v>7</v>
      </c>
      <c r="I64" s="25"/>
    </row>
    <row r="65" spans="3:9" ht="12.75">
      <c r="C65" s="23"/>
      <c r="D65" s="10"/>
      <c r="E65" s="10"/>
      <c r="F65" s="26"/>
      <c r="G65" s="10"/>
      <c r="H65" s="10"/>
      <c r="I65" s="25"/>
    </row>
    <row r="66" spans="3:9" ht="12.75">
      <c r="C66" s="23"/>
      <c r="D66" s="32" t="s">
        <v>54</v>
      </c>
      <c r="E66" s="10"/>
      <c r="F66" s="26"/>
      <c r="G66" s="10"/>
      <c r="H66" s="10"/>
      <c r="I66" s="25"/>
    </row>
    <row r="67" spans="3:9" ht="12.75">
      <c r="C67" s="23"/>
      <c r="D67" s="10"/>
      <c r="E67" s="10" t="s">
        <v>53</v>
      </c>
      <c r="F67" s="82">
        <v>1</v>
      </c>
      <c r="G67" s="10"/>
      <c r="H67" s="10" t="s">
        <v>7</v>
      </c>
      <c r="I67" s="25"/>
    </row>
    <row r="68" spans="3:9" ht="12.75">
      <c r="C68" s="23"/>
      <c r="D68" s="10"/>
      <c r="E68" s="10" t="s">
        <v>56</v>
      </c>
      <c r="F68" s="63">
        <f>F56</f>
        <v>200</v>
      </c>
      <c r="G68" s="10"/>
      <c r="H68" s="10" t="s">
        <v>7</v>
      </c>
      <c r="I68" s="25"/>
    </row>
    <row r="69" spans="3:9" ht="12.75">
      <c r="C69" s="23"/>
      <c r="D69" s="10"/>
      <c r="E69" s="10" t="s">
        <v>77</v>
      </c>
      <c r="F69" s="63">
        <f>F68+F67</f>
        <v>201</v>
      </c>
      <c r="G69" s="10"/>
      <c r="H69" s="10" t="s">
        <v>7</v>
      </c>
      <c r="I69" s="25"/>
    </row>
    <row r="70" spans="3:9" ht="12.75">
      <c r="C70" s="23"/>
      <c r="D70" s="10"/>
      <c r="E70" s="10" t="s">
        <v>57</v>
      </c>
      <c r="F70" s="64">
        <f>F69*F51/100</f>
        <v>2.414412</v>
      </c>
      <c r="G70" s="10"/>
      <c r="H70" s="10" t="s">
        <v>7</v>
      </c>
      <c r="I70" s="25"/>
    </row>
    <row r="71" spans="3:9" ht="12.75">
      <c r="C71" s="23"/>
      <c r="D71" s="10"/>
      <c r="E71" s="10"/>
      <c r="F71" s="11"/>
      <c r="G71" s="10"/>
      <c r="H71" s="10"/>
      <c r="I71" s="25"/>
    </row>
    <row r="72" spans="3:9" ht="12.75">
      <c r="C72" s="23"/>
      <c r="D72" s="32" t="s">
        <v>58</v>
      </c>
      <c r="E72" s="10"/>
      <c r="F72" s="26"/>
      <c r="G72" s="10"/>
      <c r="H72" s="10"/>
      <c r="I72" s="25"/>
    </row>
    <row r="73" spans="3:9" ht="12.75">
      <c r="C73" s="23"/>
      <c r="D73" s="10"/>
      <c r="E73" s="10" t="s">
        <v>53</v>
      </c>
      <c r="F73" s="82">
        <v>1</v>
      </c>
      <c r="G73" s="10"/>
      <c r="H73" s="10" t="s">
        <v>7</v>
      </c>
      <c r="I73" s="25"/>
    </row>
    <row r="74" spans="3:9" ht="12.75">
      <c r="C74" s="23"/>
      <c r="D74" s="10"/>
      <c r="E74" s="10" t="s">
        <v>80</v>
      </c>
      <c r="F74" s="63">
        <f>F56</f>
        <v>200</v>
      </c>
      <c r="G74" s="10"/>
      <c r="H74" s="10" t="s">
        <v>7</v>
      </c>
      <c r="I74" s="25"/>
    </row>
    <row r="75" spans="3:9" ht="12.75">
      <c r="C75" s="23"/>
      <c r="D75" s="10"/>
      <c r="E75" s="10" t="s">
        <v>78</v>
      </c>
      <c r="F75" s="63">
        <f>F74+F73</f>
        <v>201</v>
      </c>
      <c r="G75" s="10"/>
      <c r="H75" s="10" t="s">
        <v>7</v>
      </c>
      <c r="I75" s="25"/>
    </row>
    <row r="76" spans="3:9" ht="12.75">
      <c r="C76" s="23"/>
      <c r="D76" s="10"/>
      <c r="E76" s="10" t="s">
        <v>79</v>
      </c>
      <c r="F76" s="64">
        <f>F75*F55/100</f>
        <v>7.336098000000001</v>
      </c>
      <c r="G76" s="10"/>
      <c r="H76" s="10" t="s">
        <v>7</v>
      </c>
      <c r="I76" s="25"/>
    </row>
    <row r="77" spans="3:9" ht="12.75">
      <c r="C77" s="23"/>
      <c r="D77" s="10"/>
      <c r="E77" s="10"/>
      <c r="F77" s="26"/>
      <c r="G77" s="10"/>
      <c r="H77" s="10"/>
      <c r="I77" s="25"/>
    </row>
    <row r="78" spans="3:9" ht="12.75">
      <c r="C78" s="23"/>
      <c r="D78" s="32" t="s">
        <v>61</v>
      </c>
      <c r="E78" s="10"/>
      <c r="F78" s="26"/>
      <c r="G78" s="10"/>
      <c r="H78" s="10"/>
      <c r="I78" s="25"/>
    </row>
    <row r="79" spans="3:9" ht="12.75">
      <c r="C79" s="23"/>
      <c r="D79" s="10"/>
      <c r="E79" s="10" t="s">
        <v>62</v>
      </c>
      <c r="F79" s="64">
        <f>VLOOKUP((ROUNDUP((F40*10),0))/10,'Component sizing'!H3:I53,2)</f>
        <v>2.16</v>
      </c>
      <c r="G79" s="10"/>
      <c r="H79" s="10" t="s">
        <v>7</v>
      </c>
      <c r="I79" s="25"/>
    </row>
    <row r="80" spans="3:9" ht="12.75">
      <c r="C80" s="23"/>
      <c r="D80" s="10"/>
      <c r="E80" s="10"/>
      <c r="F80" s="26"/>
      <c r="G80" s="10"/>
      <c r="H80" s="10"/>
      <c r="I80" s="25"/>
    </row>
    <row r="81" spans="3:9" ht="12.75">
      <c r="C81" s="23"/>
      <c r="D81" s="32" t="s">
        <v>66</v>
      </c>
      <c r="E81" s="10"/>
      <c r="F81" s="26"/>
      <c r="G81" s="10"/>
      <c r="H81" s="10"/>
      <c r="I81" s="25"/>
    </row>
    <row r="82" spans="3:9" ht="12.75">
      <c r="C82" s="23"/>
      <c r="D82" s="10"/>
      <c r="E82" s="10" t="s">
        <v>67</v>
      </c>
      <c r="F82" s="64">
        <f>VLOOKUP(ROUNDUP(F43,0),'Component sizing'!H61:I86,2,FALSE)</f>
        <v>3.53</v>
      </c>
      <c r="G82" s="10"/>
      <c r="H82" s="10" t="s">
        <v>7</v>
      </c>
      <c r="I82" s="25"/>
    </row>
    <row r="83" spans="3:9" ht="12.75">
      <c r="C83" s="23"/>
      <c r="D83" s="10"/>
      <c r="E83" s="10"/>
      <c r="F83" s="11"/>
      <c r="G83" s="10"/>
      <c r="H83" s="10"/>
      <c r="I83" s="25"/>
    </row>
    <row r="84" spans="3:9" ht="12.75">
      <c r="C84" s="23"/>
      <c r="D84" s="32" t="s">
        <v>143</v>
      </c>
      <c r="E84" s="10"/>
      <c r="F84" s="13"/>
      <c r="G84" s="59"/>
      <c r="H84" s="59"/>
      <c r="I84" s="25"/>
    </row>
    <row r="85" spans="3:9" ht="12.75">
      <c r="C85" s="23"/>
      <c r="D85" s="32"/>
      <c r="E85" s="10" t="s">
        <v>145</v>
      </c>
      <c r="F85" s="64">
        <f>'Component sizing'!B179</f>
        <v>0</v>
      </c>
      <c r="G85" s="10"/>
      <c r="H85" s="10" t="s">
        <v>7</v>
      </c>
      <c r="I85" s="25"/>
    </row>
    <row r="86" spans="3:9" ht="12.75">
      <c r="C86" s="23"/>
      <c r="D86" s="10"/>
      <c r="E86" s="10"/>
      <c r="F86" s="11"/>
      <c r="G86" s="10"/>
      <c r="H86" s="10"/>
      <c r="I86" s="25"/>
    </row>
    <row r="87" spans="3:9" ht="12.75">
      <c r="C87" s="23"/>
      <c r="D87" s="32" t="s">
        <v>155</v>
      </c>
      <c r="E87" s="10"/>
      <c r="F87" s="64">
        <f>F59+F64+F70+F76+F79+F82+F85</f>
        <v>103.19051</v>
      </c>
      <c r="G87" s="10"/>
      <c r="H87" s="10" t="s">
        <v>7</v>
      </c>
      <c r="I87" s="25"/>
    </row>
    <row r="88" spans="3:9" ht="12.75">
      <c r="C88" s="23"/>
      <c r="D88" s="10"/>
      <c r="E88" s="10"/>
      <c r="F88" s="26"/>
      <c r="G88" s="10"/>
      <c r="H88" s="10"/>
      <c r="I88" s="25"/>
    </row>
    <row r="89" spans="3:9" ht="12.75">
      <c r="C89" s="23"/>
      <c r="D89" s="32" t="s">
        <v>156</v>
      </c>
      <c r="E89" s="10"/>
      <c r="F89" s="66">
        <f>IF(F87&gt;143,0,(VLOOKUP(ROUNDUP(F87,0),'Component sizing'!K3:L148,2,FALSE)))</f>
        <v>18.4</v>
      </c>
      <c r="G89" s="10"/>
      <c r="H89" s="10" t="s">
        <v>99</v>
      </c>
      <c r="I89" s="25" t="s">
        <v>74</v>
      </c>
    </row>
    <row r="90" spans="3:9" ht="13.5" thickBot="1">
      <c r="C90" s="29"/>
      <c r="D90" s="27"/>
      <c r="E90" s="27"/>
      <c r="F90" s="30"/>
      <c r="G90" s="27"/>
      <c r="H90" s="27"/>
      <c r="I90" s="28"/>
    </row>
    <row r="91" ht="12.75">
      <c r="F91" s="1"/>
    </row>
    <row r="92" ht="13.5" thickBot="1">
      <c r="F92" s="1"/>
    </row>
    <row r="93" spans="3:9" ht="12.75">
      <c r="C93" s="31"/>
      <c r="D93" s="20"/>
      <c r="E93" s="20"/>
      <c r="F93" s="60"/>
      <c r="G93" s="20"/>
      <c r="H93" s="20"/>
      <c r="I93" s="22"/>
    </row>
    <row r="94" spans="3:9" ht="12.75">
      <c r="C94" s="23"/>
      <c r="D94" s="32" t="s">
        <v>76</v>
      </c>
      <c r="E94" s="10"/>
      <c r="F94" s="26"/>
      <c r="G94" s="10"/>
      <c r="H94" s="10"/>
      <c r="I94" s="25"/>
    </row>
    <row r="95" spans="3:9" ht="12.75">
      <c r="C95" s="23"/>
      <c r="D95" s="10"/>
      <c r="E95" s="10" t="s">
        <v>100</v>
      </c>
      <c r="F95" s="82">
        <v>24</v>
      </c>
      <c r="G95" s="10"/>
      <c r="H95" s="10"/>
      <c r="I95" s="25" t="s">
        <v>106</v>
      </c>
    </row>
    <row r="96" spans="3:9" ht="12.75">
      <c r="C96" s="23"/>
      <c r="D96" s="10"/>
      <c r="E96" s="10" t="s">
        <v>93</v>
      </c>
      <c r="F96" s="63">
        <f>F95*F23</f>
        <v>24</v>
      </c>
      <c r="G96" s="10"/>
      <c r="H96" s="10"/>
      <c r="I96" s="25"/>
    </row>
    <row r="97" spans="3:9" ht="12.75">
      <c r="C97" s="23"/>
      <c r="D97" s="10"/>
      <c r="E97" s="10" t="s">
        <v>102</v>
      </c>
      <c r="F97" s="64">
        <f>(ROUNDUP((((F16/F23)*4)/(F31)),0))/4</f>
        <v>94.25</v>
      </c>
      <c r="G97" s="10"/>
      <c r="H97" s="10" t="s">
        <v>9</v>
      </c>
      <c r="I97" s="25" t="s">
        <v>107</v>
      </c>
    </row>
    <row r="98" spans="3:9" ht="12.75">
      <c r="C98" s="23"/>
      <c r="D98" s="10"/>
      <c r="E98" s="10" t="s">
        <v>101</v>
      </c>
      <c r="F98" s="64">
        <f>F97*F23</f>
        <v>94.25</v>
      </c>
      <c r="G98" s="10"/>
      <c r="H98" s="10" t="s">
        <v>9</v>
      </c>
      <c r="I98" s="25" t="s">
        <v>107</v>
      </c>
    </row>
    <row r="99" spans="3:9" ht="12.75">
      <c r="C99" s="23"/>
      <c r="D99" s="10"/>
      <c r="E99" s="10" t="s">
        <v>103</v>
      </c>
      <c r="F99" s="64">
        <f>F97/F95</f>
        <v>3.9270833333333335</v>
      </c>
      <c r="G99" s="10"/>
      <c r="H99" s="10" t="s">
        <v>9</v>
      </c>
      <c r="I99" s="25"/>
    </row>
    <row r="100" spans="3:9" ht="12.75">
      <c r="C100" s="23"/>
      <c r="D100" s="10"/>
      <c r="E100" s="10" t="s">
        <v>105</v>
      </c>
      <c r="F100" s="64">
        <f>Calculations!C9/Input!F89</f>
        <v>2.084925249756522</v>
      </c>
      <c r="G100" s="10"/>
      <c r="H100" s="10" t="s">
        <v>9</v>
      </c>
      <c r="I100" s="25" t="s">
        <v>74</v>
      </c>
    </row>
    <row r="101" spans="3:9" ht="12.75">
      <c r="C101" s="23"/>
      <c r="D101" s="10"/>
      <c r="E101" s="10" t="s">
        <v>151</v>
      </c>
      <c r="F101" s="64">
        <f>(ROUNDUP(((F99+F100)*4),0))/4</f>
        <v>6.25</v>
      </c>
      <c r="G101" s="10"/>
      <c r="H101" s="10" t="s">
        <v>9</v>
      </c>
      <c r="I101" s="25" t="s">
        <v>107</v>
      </c>
    </row>
    <row r="102" spans="3:9" ht="12.75">
      <c r="C102" s="23"/>
      <c r="D102" s="10"/>
      <c r="E102" s="10" t="s">
        <v>152</v>
      </c>
      <c r="F102" s="64">
        <f>(ROUNDUP((((1440/F96)-F101)*4),0))/4</f>
        <v>53.75</v>
      </c>
      <c r="G102" s="10"/>
      <c r="H102" s="10" t="s">
        <v>9</v>
      </c>
      <c r="I102" s="25" t="s">
        <v>107</v>
      </c>
    </row>
    <row r="103" spans="3:9" ht="13.5" thickBot="1">
      <c r="C103" s="29"/>
      <c r="D103" s="27"/>
      <c r="E103" s="27"/>
      <c r="F103" s="27"/>
      <c r="G103" s="27"/>
      <c r="H103" s="27"/>
      <c r="I103" s="28"/>
    </row>
    <row r="106" ht="12.75">
      <c r="H106" s="91"/>
    </row>
    <row r="107" ht="12.75">
      <c r="H107" s="91"/>
    </row>
  </sheetData>
  <sheetProtection password="E1D9" sheet="1" objects="1" scenarios="1" selectLockedCells="1"/>
  <mergeCells count="1">
    <mergeCell ref="B9:I9"/>
  </mergeCells>
  <conditionalFormatting sqref="B9">
    <cfRule type="expression" priority="1" dxfId="3" stopIfTrue="1">
      <formula>$B$1&gt;0</formula>
    </cfRule>
  </conditionalFormatting>
  <conditionalFormatting sqref="F36">
    <cfRule type="cellIs" priority="2" dxfId="4" operator="notBetween" stopIfTrue="1">
      <formula>10</formula>
      <formula>45</formula>
    </cfRule>
  </conditionalFormatting>
  <conditionalFormatting sqref="F89">
    <cfRule type="cellIs" priority="3" dxfId="4" operator="lessThan" stopIfTrue="1">
      <formula>$F$43</formula>
    </cfRule>
  </conditionalFormatting>
  <conditionalFormatting sqref="F40">
    <cfRule type="cellIs" priority="4" dxfId="4" operator="greaterThan" stopIfTrue="1">
      <formula>$F$39</formula>
    </cfRule>
  </conditionalFormatting>
  <conditionalFormatting sqref="F43">
    <cfRule type="cellIs" priority="5" dxfId="4" operator="greaterThan" stopIfTrue="1">
      <formula>$F$89</formula>
    </cfRule>
  </conditionalFormatting>
  <conditionalFormatting sqref="F102">
    <cfRule type="cellIs" priority="6" dxfId="4" operator="lessThan" stopIfTrue="1">
      <formula>1</formula>
    </cfRule>
  </conditionalFormatting>
  <conditionalFormatting sqref="F16">
    <cfRule type="expression" priority="7" dxfId="4" stopIfTrue="1">
      <formula>$C$16&gt;0</formula>
    </cfRule>
  </conditionalFormatting>
  <conditionalFormatting sqref="F23">
    <cfRule type="expression" priority="8" dxfId="4" stopIfTrue="1">
      <formula>$C$23&gt;0</formula>
    </cfRule>
  </conditionalFormatting>
  <conditionalFormatting sqref="F18">
    <cfRule type="expression" priority="9" dxfId="4" stopIfTrue="1">
      <formula>$C$18&gt;0</formula>
    </cfRule>
  </conditionalFormatting>
  <printOptions horizontalCentered="1"/>
  <pageMargins left="0.75" right="0.75" top="1" bottom="1" header="0.5" footer="0.5"/>
  <pageSetup fitToHeight="1" fitToWidth="1" horizontalDpi="600" verticalDpi="600" orientation="portrait" scale="53" r:id="rId2"/>
  <drawing r:id="rId1"/>
</worksheet>
</file>

<file path=xl/worksheets/sheet3.xml><?xml version="1.0" encoding="utf-8"?>
<worksheet xmlns="http://schemas.openxmlformats.org/spreadsheetml/2006/main" xmlns:r="http://schemas.openxmlformats.org/officeDocument/2006/relationships">
  <dimension ref="B1:H46"/>
  <sheetViews>
    <sheetView showGridLines="0" showRowColHeaders="0" zoomScale="110" zoomScaleNormal="110" zoomScalePageLayoutView="0" workbookViewId="0" topLeftCell="A1">
      <selection activeCell="H2" sqref="H2"/>
    </sheetView>
  </sheetViews>
  <sheetFormatPr defaultColWidth="9.140625" defaultRowHeight="12.75"/>
  <cols>
    <col min="1" max="1" width="4.7109375" style="0" customWidth="1"/>
    <col min="2" max="2" width="3.00390625" style="0" customWidth="1"/>
    <col min="3" max="3" width="3.140625" style="0" customWidth="1"/>
    <col min="4" max="4" width="42.7109375" style="0" customWidth="1"/>
    <col min="5" max="5" width="2.140625" style="0" customWidth="1"/>
    <col min="6" max="6" width="8.140625" style="0" customWidth="1"/>
    <col min="7" max="7" width="1.28515625" style="0" customWidth="1"/>
    <col min="8" max="8" width="25.7109375" style="0" customWidth="1"/>
  </cols>
  <sheetData>
    <row r="1" ht="12.75">
      <c r="B1" s="67">
        <f>Calculations!C20</f>
        <v>0</v>
      </c>
    </row>
    <row r="2" spans="7:8" ht="12.75">
      <c r="G2" s="61" t="s">
        <v>108</v>
      </c>
      <c r="H2" s="83">
        <f>IF(Input!I2="","",Input!I2)</f>
      </c>
    </row>
    <row r="3" ht="7.5" customHeight="1">
      <c r="H3" s="4"/>
    </row>
    <row r="4" spans="7:8" ht="12.75">
      <c r="G4" s="61" t="s">
        <v>109</v>
      </c>
      <c r="H4" s="83">
        <f>IF(Input!I4="","",Input!I4)</f>
      </c>
    </row>
    <row r="5" ht="7.5" customHeight="1">
      <c r="H5" s="4"/>
    </row>
    <row r="6" spans="7:8" ht="12.75">
      <c r="G6" s="61" t="s">
        <v>110</v>
      </c>
      <c r="H6" s="83">
        <f>IF(Input!I6="","",Input!I6)</f>
      </c>
    </row>
    <row r="7" ht="7.5" customHeight="1">
      <c r="H7" s="4"/>
    </row>
    <row r="8" spans="7:8" ht="12.75">
      <c r="G8" s="61" t="s">
        <v>111</v>
      </c>
      <c r="H8" s="84">
        <f>IF(Input!I8="","",Input!I8)</f>
      </c>
    </row>
    <row r="9" ht="10.5" customHeight="1"/>
    <row r="10" spans="2:8" ht="18">
      <c r="B10" s="101" t="s">
        <v>125</v>
      </c>
      <c r="C10" s="102"/>
      <c r="D10" s="102"/>
      <c r="E10" s="102"/>
      <c r="F10" s="102"/>
      <c r="G10" s="102"/>
      <c r="H10" s="102"/>
    </row>
    <row r="11" spans="2:8" ht="24" customHeight="1">
      <c r="B11" s="103" t="s">
        <v>126</v>
      </c>
      <c r="C11" s="100"/>
      <c r="D11" s="100"/>
      <c r="E11" s="100"/>
      <c r="F11" s="100"/>
      <c r="G11" s="100"/>
      <c r="H11" s="100"/>
    </row>
    <row r="12" spans="2:8" ht="12.75">
      <c r="B12" s="67"/>
      <c r="C12" s="69" t="s">
        <v>116</v>
      </c>
      <c r="D12" s="70"/>
      <c r="E12" s="70"/>
      <c r="F12" s="67"/>
      <c r="G12" s="67"/>
      <c r="H12" s="67"/>
    </row>
    <row r="13" spans="2:8" ht="15.75" customHeight="1">
      <c r="B13" s="67"/>
      <c r="C13" s="70"/>
      <c r="D13" s="70" t="s">
        <v>104</v>
      </c>
      <c r="E13" s="70"/>
      <c r="F13" s="74">
        <f>Input!F16</f>
        <v>500</v>
      </c>
      <c r="G13" s="74"/>
      <c r="H13" s="74" t="str">
        <f>Input!H16</f>
        <v>Gallons / Day</v>
      </c>
    </row>
    <row r="14" spans="2:8" ht="15.75" customHeight="1">
      <c r="B14" s="67"/>
      <c r="C14" s="70"/>
      <c r="D14" s="70" t="s">
        <v>3</v>
      </c>
      <c r="E14" s="70"/>
      <c r="F14" s="75">
        <f>Input!F17</f>
        <v>0.4</v>
      </c>
      <c r="G14" s="70"/>
      <c r="H14" s="70" t="str">
        <f>Input!H17</f>
        <v>Gallons / Square Foot / Day</v>
      </c>
    </row>
    <row r="15" spans="2:8" ht="15.75" customHeight="1">
      <c r="B15" s="67"/>
      <c r="C15" s="71"/>
      <c r="D15" s="71" t="s">
        <v>10</v>
      </c>
      <c r="E15" s="71"/>
      <c r="F15" s="74">
        <f>Input!F18</f>
        <v>1250</v>
      </c>
      <c r="G15" s="74"/>
      <c r="H15" s="74" t="str">
        <f>Input!H18</f>
        <v>Square Feet</v>
      </c>
    </row>
    <row r="16" spans="2:8" ht="15.75" customHeight="1">
      <c r="B16" s="67"/>
      <c r="C16" s="71"/>
      <c r="D16" s="70" t="s">
        <v>21</v>
      </c>
      <c r="E16" s="70"/>
      <c r="F16" s="76">
        <f>Input!F36</f>
        <v>25</v>
      </c>
      <c r="G16" s="76"/>
      <c r="H16" s="76" t="str">
        <f>Input!H36</f>
        <v>PSI</v>
      </c>
    </row>
    <row r="17" spans="2:8" ht="15.75" customHeight="1">
      <c r="B17" s="67"/>
      <c r="C17" s="71"/>
      <c r="D17" s="70" t="s">
        <v>17</v>
      </c>
      <c r="E17" s="70"/>
      <c r="F17" s="77">
        <f>Input!F37</f>
        <v>2</v>
      </c>
      <c r="G17" s="77"/>
      <c r="H17" s="77" t="str">
        <f>Input!H37</f>
        <v>Feet / Second</v>
      </c>
    </row>
    <row r="18" spans="2:8" ht="15.75" customHeight="1">
      <c r="B18" s="67"/>
      <c r="C18" s="71"/>
      <c r="D18" s="70" t="s">
        <v>55</v>
      </c>
      <c r="E18" s="70"/>
      <c r="F18" s="76">
        <f>Input!F56</f>
        <v>200</v>
      </c>
      <c r="G18" s="76"/>
      <c r="H18" s="76" t="str">
        <f>Input!H56</f>
        <v>Feet</v>
      </c>
    </row>
    <row r="19" spans="2:8" ht="12.75">
      <c r="B19" s="67"/>
      <c r="C19" s="71"/>
      <c r="D19" s="70"/>
      <c r="E19" s="70"/>
      <c r="F19" s="67"/>
      <c r="G19" s="67"/>
      <c r="H19" s="67"/>
    </row>
    <row r="20" spans="2:8" ht="12.75">
      <c r="B20" s="67"/>
      <c r="C20" s="69" t="s">
        <v>117</v>
      </c>
      <c r="D20" s="70"/>
      <c r="E20" s="70"/>
      <c r="F20" s="67"/>
      <c r="G20" s="67"/>
      <c r="H20" s="67"/>
    </row>
    <row r="21" spans="2:8" ht="15.75" customHeight="1">
      <c r="B21" s="67"/>
      <c r="C21" s="70"/>
      <c r="D21" s="70" t="s">
        <v>1</v>
      </c>
      <c r="E21" s="70"/>
      <c r="F21" s="76">
        <f>Input!F23</f>
        <v>1</v>
      </c>
      <c r="G21" s="70"/>
      <c r="H21" s="70"/>
    </row>
    <row r="22" spans="2:8" ht="15.75" customHeight="1">
      <c r="B22" s="67"/>
      <c r="C22" s="70"/>
      <c r="D22" s="70" t="s">
        <v>95</v>
      </c>
      <c r="E22" s="70"/>
      <c r="F22" s="76">
        <f>Input!F24</f>
        <v>1250</v>
      </c>
      <c r="G22" s="76"/>
      <c r="H22" s="76" t="str">
        <f>Input!H24</f>
        <v>Square Feet</v>
      </c>
    </row>
    <row r="23" spans="2:8" ht="15.75" customHeight="1">
      <c r="B23" s="67"/>
      <c r="C23" s="70"/>
      <c r="D23" s="70" t="s">
        <v>19</v>
      </c>
      <c r="E23" s="70"/>
      <c r="F23" s="76">
        <f>Input!F38</f>
        <v>5</v>
      </c>
      <c r="G23" s="70"/>
      <c r="H23" s="70"/>
    </row>
    <row r="24" spans="2:8" ht="15.75" customHeight="1">
      <c r="B24" s="67"/>
      <c r="C24" s="70"/>
      <c r="D24" s="70" t="s">
        <v>123</v>
      </c>
      <c r="E24" s="70"/>
      <c r="F24" s="76">
        <f>Input!F40</f>
        <v>125</v>
      </c>
      <c r="G24" s="76"/>
      <c r="H24" s="76" t="str">
        <f>Input!H40</f>
        <v>Feet</v>
      </c>
    </row>
    <row r="25" spans="2:8" ht="15.75" customHeight="1">
      <c r="B25" s="67"/>
      <c r="C25" s="70"/>
      <c r="D25" s="70" t="s">
        <v>124</v>
      </c>
      <c r="E25" s="70"/>
      <c r="F25" s="74">
        <f>Input!F27</f>
        <v>625</v>
      </c>
      <c r="G25" s="74"/>
      <c r="H25" s="74" t="str">
        <f>Input!H27</f>
        <v>Linear Feet</v>
      </c>
    </row>
    <row r="26" spans="2:8" ht="15.75" customHeight="1">
      <c r="B26" s="67"/>
      <c r="C26" s="70"/>
      <c r="D26" s="70" t="s">
        <v>96</v>
      </c>
      <c r="E26" s="70"/>
      <c r="F26" s="74">
        <f>Input!F29</f>
        <v>312.5</v>
      </c>
      <c r="G26" s="70"/>
      <c r="H26" s="70"/>
    </row>
    <row r="27" spans="2:8" ht="15.75" customHeight="1">
      <c r="B27" s="67"/>
      <c r="C27" s="70"/>
      <c r="D27" s="70" t="s">
        <v>97</v>
      </c>
      <c r="E27" s="70"/>
      <c r="F27" s="77">
        <f>Input!F31</f>
        <v>5.3125</v>
      </c>
      <c r="G27" s="77"/>
      <c r="H27" s="77" t="str">
        <f>Input!H31</f>
        <v>Gallons / Minute</v>
      </c>
    </row>
    <row r="28" spans="2:8" ht="15.75" customHeight="1">
      <c r="B28" s="67"/>
      <c r="C28" s="70"/>
      <c r="D28" s="70" t="s">
        <v>100</v>
      </c>
      <c r="E28" s="70"/>
      <c r="F28" s="76">
        <f>Input!F95</f>
        <v>24</v>
      </c>
      <c r="G28" s="70"/>
      <c r="H28" s="70"/>
    </row>
    <row r="29" spans="2:8" ht="12.75">
      <c r="B29" s="67"/>
      <c r="C29" s="71"/>
      <c r="D29" s="70"/>
      <c r="E29" s="70"/>
      <c r="F29" s="67"/>
      <c r="G29" s="67"/>
      <c r="H29" s="67"/>
    </row>
    <row r="30" spans="2:8" ht="12.75">
      <c r="B30" s="67"/>
      <c r="C30" s="72" t="s">
        <v>121</v>
      </c>
      <c r="D30" s="70"/>
      <c r="E30" s="70"/>
      <c r="F30" s="67"/>
      <c r="G30" s="67"/>
      <c r="H30" s="67"/>
    </row>
    <row r="31" spans="2:8" ht="15.75" customHeight="1">
      <c r="B31" s="67"/>
      <c r="C31" s="72"/>
      <c r="D31" s="73" t="s">
        <v>92</v>
      </c>
      <c r="E31" s="73"/>
      <c r="F31" s="74">
        <f>Input!F28</f>
        <v>625</v>
      </c>
      <c r="G31" s="74"/>
      <c r="H31" s="74" t="str">
        <f>Input!H28</f>
        <v>Linear Feet</v>
      </c>
    </row>
    <row r="32" spans="2:8" ht="15.75" customHeight="1">
      <c r="B32" s="67"/>
      <c r="C32" s="72"/>
      <c r="D32" s="70" t="s">
        <v>4</v>
      </c>
      <c r="E32" s="70"/>
      <c r="F32" s="77">
        <f>Input!F30</f>
        <v>1.02</v>
      </c>
      <c r="G32" s="77"/>
      <c r="H32" s="77" t="str">
        <f>Input!H30</f>
        <v>Gallons / Hour</v>
      </c>
    </row>
    <row r="33" spans="2:8" ht="15.75" customHeight="1">
      <c r="B33" s="67"/>
      <c r="C33" s="71"/>
      <c r="D33" s="70" t="s">
        <v>2</v>
      </c>
      <c r="E33" s="70"/>
      <c r="F33" s="76">
        <f>Input!F25</f>
        <v>24</v>
      </c>
      <c r="G33" s="76"/>
      <c r="H33" s="76" t="str">
        <f>Input!H25</f>
        <v>Inches</v>
      </c>
    </row>
    <row r="34" spans="2:8" ht="15.75" customHeight="1">
      <c r="B34" s="67"/>
      <c r="C34" s="71"/>
      <c r="D34" s="70" t="s">
        <v>0</v>
      </c>
      <c r="E34" s="70"/>
      <c r="F34" s="76">
        <f>Input!F26</f>
        <v>24</v>
      </c>
      <c r="G34" s="76"/>
      <c r="H34" s="76" t="str">
        <f>Input!H26</f>
        <v>Inches</v>
      </c>
    </row>
    <row r="35" spans="2:8" ht="15.75" customHeight="1">
      <c r="B35" s="67"/>
      <c r="C35" s="71"/>
      <c r="D35" s="70" t="s">
        <v>118</v>
      </c>
      <c r="E35" s="70"/>
      <c r="F35" s="78">
        <f>Input!F49</f>
        <v>1.5</v>
      </c>
      <c r="G35" s="70"/>
      <c r="H35" s="70" t="str">
        <f>Input!H49</f>
        <v>Inches</v>
      </c>
    </row>
    <row r="36" spans="2:8" ht="15.75" customHeight="1">
      <c r="B36" s="67"/>
      <c r="C36" s="71"/>
      <c r="D36" s="70" t="s">
        <v>26</v>
      </c>
      <c r="E36" s="70"/>
      <c r="F36" s="78">
        <f>Input!F53</f>
        <v>1</v>
      </c>
      <c r="G36" s="70"/>
      <c r="H36" s="70" t="str">
        <f>Input!H53</f>
        <v>Inches</v>
      </c>
    </row>
    <row r="37" spans="2:8" ht="12.75">
      <c r="B37" s="67"/>
      <c r="C37" s="70"/>
      <c r="D37" s="70"/>
      <c r="E37" s="70"/>
      <c r="F37" s="67"/>
      <c r="G37" s="67"/>
      <c r="H37" s="67"/>
    </row>
    <row r="38" spans="2:8" ht="12.75">
      <c r="B38" s="67"/>
      <c r="C38" s="69" t="s">
        <v>122</v>
      </c>
      <c r="D38" s="70"/>
      <c r="E38" s="70"/>
      <c r="F38" s="67"/>
      <c r="G38" s="67"/>
      <c r="H38" s="67"/>
    </row>
    <row r="39" spans="2:8" ht="15.75" customHeight="1">
      <c r="B39" s="67"/>
      <c r="C39" s="70"/>
      <c r="D39" s="70" t="s">
        <v>52</v>
      </c>
      <c r="E39" s="70"/>
      <c r="F39" s="77">
        <f>Input!F64</f>
        <v>30</v>
      </c>
      <c r="G39" s="76"/>
      <c r="H39" s="76" t="str">
        <f>Input!H64</f>
        <v>Feet</v>
      </c>
    </row>
    <row r="40" spans="2:8" ht="15.75" customHeight="1">
      <c r="B40" s="67"/>
      <c r="C40" s="70"/>
      <c r="D40" s="67" t="s">
        <v>119</v>
      </c>
      <c r="E40" s="67"/>
      <c r="F40" s="77">
        <f>Input!F59+Input!F70+Input!F76+Input!F79+Input!F82</f>
        <v>73.19051</v>
      </c>
      <c r="G40" s="77"/>
      <c r="H40" s="77" t="s">
        <v>7</v>
      </c>
    </row>
    <row r="41" spans="2:8" ht="15.75" customHeight="1">
      <c r="B41" s="67"/>
      <c r="C41" s="70"/>
      <c r="D41" s="70" t="s">
        <v>70</v>
      </c>
      <c r="E41" s="70"/>
      <c r="F41" s="77">
        <f>Input!F87</f>
        <v>103.19051</v>
      </c>
      <c r="G41" s="77"/>
      <c r="H41" s="77" t="str">
        <f>Input!H87</f>
        <v>Feet</v>
      </c>
    </row>
    <row r="42" spans="2:8" ht="15.75" customHeight="1">
      <c r="B42" s="67"/>
      <c r="C42" s="70"/>
      <c r="D42" s="70" t="s">
        <v>120</v>
      </c>
      <c r="E42" s="70"/>
      <c r="F42" s="77">
        <f>Input!F43</f>
        <v>13.349085312500003</v>
      </c>
      <c r="G42" s="77"/>
      <c r="H42" s="77" t="str">
        <f>Input!H43</f>
        <v>Gallons / Minute</v>
      </c>
    </row>
    <row r="43" spans="2:8" ht="12.75">
      <c r="B43" s="67"/>
      <c r="C43" s="70"/>
      <c r="D43" s="70"/>
      <c r="E43" s="70"/>
      <c r="F43" s="67"/>
      <c r="G43" s="67"/>
      <c r="H43" s="67"/>
    </row>
    <row r="44" spans="2:8" ht="12.75">
      <c r="B44" s="67"/>
      <c r="C44" s="69" t="s">
        <v>76</v>
      </c>
      <c r="D44" s="70"/>
      <c r="E44" s="70"/>
      <c r="F44" s="67"/>
      <c r="G44" s="67"/>
      <c r="H44" s="67"/>
    </row>
    <row r="45" spans="2:8" ht="15.75" customHeight="1">
      <c r="B45" s="67"/>
      <c r="C45" s="70"/>
      <c r="D45" s="70" t="s">
        <v>151</v>
      </c>
      <c r="E45" s="70"/>
      <c r="F45" s="77">
        <f>Input!F101</f>
        <v>6.25</v>
      </c>
      <c r="G45" s="77"/>
      <c r="H45" s="77" t="str">
        <f>Input!H101</f>
        <v>Minutes</v>
      </c>
    </row>
    <row r="46" spans="2:8" ht="15.75" customHeight="1">
      <c r="B46" s="67"/>
      <c r="C46" s="70"/>
      <c r="D46" s="70" t="s">
        <v>152</v>
      </c>
      <c r="E46" s="70"/>
      <c r="F46" s="77">
        <f>Input!F102</f>
        <v>53.75</v>
      </c>
      <c r="G46" s="77"/>
      <c r="H46" s="77" t="str">
        <f>Input!H102</f>
        <v>Minutes</v>
      </c>
    </row>
  </sheetData>
  <sheetProtection password="E1D9" sheet="1" objects="1" scenarios="1" selectLockedCells="1" selectUnlockedCells="1"/>
  <mergeCells count="2">
    <mergeCell ref="B10:H10"/>
    <mergeCell ref="B11:H11"/>
  </mergeCells>
  <conditionalFormatting sqref="B11">
    <cfRule type="expression" priority="1" dxfId="3" stopIfTrue="1">
      <formula>$B$1&gt;0</formula>
    </cfRule>
  </conditionalFormatting>
  <conditionalFormatting sqref="B12:H12 B10:H10">
    <cfRule type="expression" priority="2" dxfId="2" stopIfTrue="1">
      <formula>$B$1=0</formula>
    </cfRule>
  </conditionalFormatting>
  <conditionalFormatting sqref="B13:E46 F43:H44 F37:H38 F29:H30 F19:H20">
    <cfRule type="expression" priority="3" dxfId="1" stopIfTrue="1">
      <formula>$B$1=0</formula>
    </cfRule>
  </conditionalFormatting>
  <conditionalFormatting sqref="F13:H18 F21:H28 F31:H36 F39:H42 F45:H46">
    <cfRule type="expression" priority="4" dxfId="13" stopIfTrue="1">
      <formula>$B$1=0</formula>
    </cfRule>
  </conditionalFormatting>
  <printOptions/>
  <pageMargins left="0.75" right="0.75" top="1" bottom="1" header="0.5" footer="0.5"/>
  <pageSetup horizontalDpi="600" verticalDpi="600" orientation="portrait" r:id="rId2"/>
  <ignoredErrors>
    <ignoredError sqref="H6 H8 H4 H2" unlockedFormula="1"/>
  </ignoredErrors>
  <drawing r:id="rId1"/>
</worksheet>
</file>

<file path=xl/worksheets/sheet4.xml><?xml version="1.0" encoding="utf-8"?>
<worksheet xmlns="http://schemas.openxmlformats.org/spreadsheetml/2006/main" xmlns:r="http://schemas.openxmlformats.org/officeDocument/2006/relationships">
  <dimension ref="A1:L179"/>
  <sheetViews>
    <sheetView zoomScalePageLayoutView="0" workbookViewId="0" topLeftCell="A61">
      <selection activeCell="A76" sqref="A76:C76"/>
    </sheetView>
  </sheetViews>
  <sheetFormatPr defaultColWidth="9.140625" defaultRowHeight="12.75"/>
  <cols>
    <col min="1" max="1" width="19.28125" style="44" customWidth="1"/>
    <col min="2" max="2" width="21.7109375" style="45" customWidth="1"/>
    <col min="3" max="4" width="19.57421875" style="44" customWidth="1"/>
    <col min="5" max="5" width="38.140625" style="44" customWidth="1"/>
    <col min="6" max="6" width="19.57421875" style="44" customWidth="1"/>
    <col min="7" max="7" width="9.140625" style="3" customWidth="1"/>
    <col min="8" max="8" width="18.140625" style="44" customWidth="1"/>
    <col min="9" max="9" width="17.57421875" style="46" customWidth="1"/>
    <col min="10" max="10" width="9.140625" style="3" customWidth="1"/>
    <col min="11" max="11" width="19.00390625" style="44" customWidth="1"/>
    <col min="12" max="12" width="21.00390625" style="51" customWidth="1"/>
    <col min="13" max="16384" width="9.140625" style="3" customWidth="1"/>
  </cols>
  <sheetData>
    <row r="1" spans="1:12" ht="12.75">
      <c r="A1" s="104" t="s">
        <v>27</v>
      </c>
      <c r="B1" s="108"/>
      <c r="C1" s="108"/>
      <c r="D1" s="52"/>
      <c r="E1" s="52"/>
      <c r="F1" s="52"/>
      <c r="H1" s="104" t="s">
        <v>63</v>
      </c>
      <c r="I1" s="104"/>
      <c r="K1" s="104" t="s">
        <v>71</v>
      </c>
      <c r="L1" s="104"/>
    </row>
    <row r="2" spans="1:12" ht="12.75">
      <c r="A2" s="7" t="s">
        <v>23</v>
      </c>
      <c r="B2" s="8" t="s">
        <v>24</v>
      </c>
      <c r="C2" s="7" t="s">
        <v>25</v>
      </c>
      <c r="D2" s="7" t="s">
        <v>82</v>
      </c>
      <c r="E2" s="7" t="s">
        <v>83</v>
      </c>
      <c r="F2" s="7" t="s">
        <v>81</v>
      </c>
      <c r="H2" s="7" t="s">
        <v>64</v>
      </c>
      <c r="I2" s="14" t="s">
        <v>65</v>
      </c>
      <c r="K2" s="7" t="s">
        <v>72</v>
      </c>
      <c r="L2" s="19" t="s">
        <v>73</v>
      </c>
    </row>
    <row r="3" spans="1:12" ht="12.75">
      <c r="A3" s="40">
        <v>0</v>
      </c>
      <c r="B3" s="41" t="s">
        <v>28</v>
      </c>
      <c r="C3" s="40" t="s">
        <v>28</v>
      </c>
      <c r="D3" s="55">
        <v>0</v>
      </c>
      <c r="E3" s="55">
        <v>0</v>
      </c>
      <c r="F3" s="55">
        <v>0</v>
      </c>
      <c r="H3" s="40">
        <v>0</v>
      </c>
      <c r="I3" s="42">
        <v>0</v>
      </c>
      <c r="K3" s="40">
        <v>0</v>
      </c>
      <c r="L3" s="43">
        <v>32.7533</v>
      </c>
    </row>
    <row r="4" spans="1:12" ht="12.75">
      <c r="A4" s="40">
        <v>1</v>
      </c>
      <c r="B4" s="41">
        <v>0.5</v>
      </c>
      <c r="C4" s="40">
        <v>0.43</v>
      </c>
      <c r="D4" s="55">
        <v>0.84</v>
      </c>
      <c r="E4" s="55">
        <v>0.109</v>
      </c>
      <c r="F4" s="55">
        <f>D4-E4-E4</f>
        <v>0.622</v>
      </c>
      <c r="H4" s="40">
        <v>10</v>
      </c>
      <c r="I4" s="42">
        <v>0.046</v>
      </c>
      <c r="K4" s="40">
        <v>1</v>
      </c>
      <c r="L4" s="43">
        <v>32.7533</v>
      </c>
    </row>
    <row r="5" spans="1:12" ht="12.75">
      <c r="A5" s="40">
        <v>2</v>
      </c>
      <c r="B5" s="41">
        <v>0.5</v>
      </c>
      <c r="C5" s="40">
        <v>1.55</v>
      </c>
      <c r="D5" s="55">
        <v>0.84</v>
      </c>
      <c r="E5" s="55">
        <v>0.109</v>
      </c>
      <c r="F5" s="55">
        <f aca="true" t="shared" si="0" ref="F5:F52">D5-E5-E5</f>
        <v>0.622</v>
      </c>
      <c r="H5" s="40">
        <v>20</v>
      </c>
      <c r="I5" s="42">
        <v>0.09</v>
      </c>
      <c r="K5" s="40">
        <v>2</v>
      </c>
      <c r="L5" s="43">
        <v>32.7533</v>
      </c>
    </row>
    <row r="6" spans="1:12" ht="12.75">
      <c r="A6" s="40">
        <v>3</v>
      </c>
      <c r="B6" s="41">
        <v>0.5</v>
      </c>
      <c r="C6" s="40">
        <v>3.27</v>
      </c>
      <c r="D6" s="55">
        <v>0.84</v>
      </c>
      <c r="E6" s="55">
        <v>0.109</v>
      </c>
      <c r="F6" s="55">
        <f t="shared" si="0"/>
        <v>0.622</v>
      </c>
      <c r="H6" s="40">
        <v>30</v>
      </c>
      <c r="I6" s="42">
        <v>0.14</v>
      </c>
      <c r="K6" s="40">
        <v>3</v>
      </c>
      <c r="L6" s="43">
        <v>32.7533</v>
      </c>
    </row>
    <row r="7" spans="1:12" ht="12.75">
      <c r="A7" s="40">
        <v>4</v>
      </c>
      <c r="B7" s="41">
        <v>0.75</v>
      </c>
      <c r="C7" s="40">
        <v>1.42</v>
      </c>
      <c r="D7" s="55">
        <v>1.05</v>
      </c>
      <c r="E7" s="55">
        <v>0.113</v>
      </c>
      <c r="F7" s="55">
        <f t="shared" si="0"/>
        <v>0.8240000000000001</v>
      </c>
      <c r="H7" s="40">
        <v>40</v>
      </c>
      <c r="I7" s="42">
        <v>0.18</v>
      </c>
      <c r="K7" s="40">
        <v>4</v>
      </c>
      <c r="L7" s="43">
        <v>32.7533</v>
      </c>
    </row>
    <row r="8" spans="1:12" ht="12.75">
      <c r="A8" s="40">
        <v>5</v>
      </c>
      <c r="B8" s="41">
        <v>0.75</v>
      </c>
      <c r="C8" s="40">
        <v>2.15</v>
      </c>
      <c r="D8" s="55">
        <v>1.05</v>
      </c>
      <c r="E8" s="55">
        <v>0.113</v>
      </c>
      <c r="F8" s="55">
        <f t="shared" si="0"/>
        <v>0.8240000000000001</v>
      </c>
      <c r="H8" s="40">
        <v>50</v>
      </c>
      <c r="I8" s="42">
        <v>0.23</v>
      </c>
      <c r="K8" s="40">
        <v>5</v>
      </c>
      <c r="L8" s="43">
        <v>32.7533</v>
      </c>
    </row>
    <row r="9" spans="1:12" ht="12.75">
      <c r="A9" s="40">
        <v>6</v>
      </c>
      <c r="B9" s="41">
        <v>1</v>
      </c>
      <c r="C9" s="40">
        <v>0.93</v>
      </c>
      <c r="D9" s="55">
        <v>1.315</v>
      </c>
      <c r="E9" s="55">
        <v>0.133</v>
      </c>
      <c r="F9" s="55">
        <f t="shared" si="0"/>
        <v>1.049</v>
      </c>
      <c r="H9" s="40">
        <v>60</v>
      </c>
      <c r="I9" s="42">
        <v>0.44</v>
      </c>
      <c r="K9" s="40">
        <v>6</v>
      </c>
      <c r="L9" s="43">
        <v>32.7533</v>
      </c>
    </row>
    <row r="10" spans="1:12" ht="12.75">
      <c r="A10" s="40">
        <v>7</v>
      </c>
      <c r="B10" s="41">
        <v>1</v>
      </c>
      <c r="C10" s="40">
        <v>1.24</v>
      </c>
      <c r="D10" s="55">
        <v>1.315</v>
      </c>
      <c r="E10" s="55">
        <v>0.133</v>
      </c>
      <c r="F10" s="55">
        <f t="shared" si="0"/>
        <v>1.049</v>
      </c>
      <c r="H10" s="40">
        <v>70</v>
      </c>
      <c r="I10" s="42">
        <v>0.65</v>
      </c>
      <c r="K10" s="40">
        <v>7</v>
      </c>
      <c r="L10" s="43">
        <v>32.7533</v>
      </c>
    </row>
    <row r="11" spans="1:12" ht="12.75">
      <c r="A11" s="40">
        <v>8</v>
      </c>
      <c r="B11" s="41">
        <v>1</v>
      </c>
      <c r="C11" s="40">
        <v>1.58</v>
      </c>
      <c r="D11" s="55">
        <v>1.315</v>
      </c>
      <c r="E11" s="55">
        <v>0.133</v>
      </c>
      <c r="F11" s="55">
        <f t="shared" si="0"/>
        <v>1.049</v>
      </c>
      <c r="H11" s="40">
        <v>80</v>
      </c>
      <c r="I11" s="42">
        <v>0.85</v>
      </c>
      <c r="K11" s="40">
        <v>8</v>
      </c>
      <c r="L11" s="43">
        <v>32.7</v>
      </c>
    </row>
    <row r="12" spans="1:12" ht="12.75">
      <c r="A12" s="40">
        <v>9</v>
      </c>
      <c r="B12" s="41">
        <v>1</v>
      </c>
      <c r="C12" s="40">
        <v>1.97</v>
      </c>
      <c r="D12" s="55">
        <v>1.315</v>
      </c>
      <c r="E12" s="55">
        <v>0.133</v>
      </c>
      <c r="F12" s="55">
        <f t="shared" si="0"/>
        <v>1.049</v>
      </c>
      <c r="H12" s="40">
        <v>90</v>
      </c>
      <c r="I12" s="42">
        <v>1.07</v>
      </c>
      <c r="K12" s="40">
        <v>9</v>
      </c>
      <c r="L12" s="43">
        <v>32.6</v>
      </c>
    </row>
    <row r="13" spans="1:12" ht="12.75">
      <c r="A13" s="40">
        <v>10</v>
      </c>
      <c r="B13" s="41">
        <v>1.25</v>
      </c>
      <c r="C13" s="40">
        <v>0.63</v>
      </c>
      <c r="D13" s="55">
        <v>1.66</v>
      </c>
      <c r="E13" s="55">
        <v>0.14</v>
      </c>
      <c r="F13" s="55">
        <f t="shared" si="0"/>
        <v>1.38</v>
      </c>
      <c r="H13" s="40">
        <v>100</v>
      </c>
      <c r="I13" s="42">
        <v>1.29</v>
      </c>
      <c r="K13" s="40">
        <v>10</v>
      </c>
      <c r="L13" s="43">
        <v>32.6</v>
      </c>
    </row>
    <row r="14" spans="1:12" ht="12.75">
      <c r="A14" s="40">
        <v>11</v>
      </c>
      <c r="B14" s="41">
        <v>1.25</v>
      </c>
      <c r="C14" s="40">
        <v>0.77</v>
      </c>
      <c r="D14" s="55">
        <v>1.66</v>
      </c>
      <c r="E14" s="55">
        <v>0.14</v>
      </c>
      <c r="F14" s="55">
        <f t="shared" si="0"/>
        <v>1.38</v>
      </c>
      <c r="H14" s="40">
        <v>110</v>
      </c>
      <c r="I14" s="42">
        <v>1.66</v>
      </c>
      <c r="K14" s="40">
        <v>11</v>
      </c>
      <c r="L14" s="43">
        <v>32.5</v>
      </c>
    </row>
    <row r="15" spans="1:12" ht="12.75">
      <c r="A15" s="40">
        <v>12</v>
      </c>
      <c r="B15" s="41">
        <v>1.25</v>
      </c>
      <c r="C15" s="40">
        <v>0.91</v>
      </c>
      <c r="D15" s="55">
        <v>1.66</v>
      </c>
      <c r="E15" s="55">
        <v>0.14</v>
      </c>
      <c r="F15" s="55">
        <f t="shared" si="0"/>
        <v>1.38</v>
      </c>
      <c r="H15" s="40">
        <v>120</v>
      </c>
      <c r="I15" s="42">
        <v>2.16</v>
      </c>
      <c r="K15" s="40">
        <v>12</v>
      </c>
      <c r="L15" s="43">
        <v>32.5</v>
      </c>
    </row>
    <row r="16" spans="1:12" ht="12.75">
      <c r="A16" s="40">
        <v>13</v>
      </c>
      <c r="B16" s="41">
        <v>1.5</v>
      </c>
      <c r="C16" s="90">
        <v>0.52</v>
      </c>
      <c r="D16" s="55">
        <v>1.9</v>
      </c>
      <c r="E16" s="55">
        <v>0.145</v>
      </c>
      <c r="F16" s="55">
        <f aca="true" t="shared" si="1" ref="F16:F23">D16-E16-E16</f>
        <v>1.6099999999999999</v>
      </c>
      <c r="H16" s="40">
        <v>130</v>
      </c>
      <c r="I16" s="42">
        <v>2.76</v>
      </c>
      <c r="K16" s="40">
        <v>13</v>
      </c>
      <c r="L16" s="43">
        <v>32.4</v>
      </c>
    </row>
    <row r="17" spans="1:12" ht="12.75">
      <c r="A17" s="40">
        <v>14</v>
      </c>
      <c r="B17" s="41">
        <v>1.5</v>
      </c>
      <c r="C17" s="90">
        <v>0.56</v>
      </c>
      <c r="D17" s="55">
        <v>1.9</v>
      </c>
      <c r="E17" s="55">
        <v>0.145</v>
      </c>
      <c r="F17" s="55">
        <f t="shared" si="1"/>
        <v>1.6099999999999999</v>
      </c>
      <c r="H17" s="40">
        <v>140</v>
      </c>
      <c r="I17" s="42">
        <v>3.41</v>
      </c>
      <c r="K17" s="40">
        <v>14</v>
      </c>
      <c r="L17" s="43">
        <v>32.3</v>
      </c>
    </row>
    <row r="18" spans="1:12" ht="12.75">
      <c r="A18" s="40">
        <v>15</v>
      </c>
      <c r="B18" s="41">
        <v>1.5</v>
      </c>
      <c r="C18" s="90">
        <v>0.63</v>
      </c>
      <c r="D18" s="55">
        <v>1.9</v>
      </c>
      <c r="E18" s="55">
        <v>0.145</v>
      </c>
      <c r="F18" s="55">
        <f t="shared" si="1"/>
        <v>1.6099999999999999</v>
      </c>
      <c r="H18" s="40">
        <v>150</v>
      </c>
      <c r="I18" s="42">
        <v>4.13</v>
      </c>
      <c r="K18" s="40">
        <v>15</v>
      </c>
      <c r="L18" s="43">
        <v>32.3</v>
      </c>
    </row>
    <row r="19" spans="1:12" ht="12.75">
      <c r="A19" s="40">
        <v>16</v>
      </c>
      <c r="B19" s="41">
        <v>1.5</v>
      </c>
      <c r="C19" s="90">
        <v>0.71</v>
      </c>
      <c r="D19" s="55">
        <v>1.9</v>
      </c>
      <c r="E19" s="55">
        <v>0.145</v>
      </c>
      <c r="F19" s="55">
        <f t="shared" si="1"/>
        <v>1.6099999999999999</v>
      </c>
      <c r="H19" s="40">
        <v>160</v>
      </c>
      <c r="I19" s="42">
        <v>4.95</v>
      </c>
      <c r="K19" s="40">
        <v>16</v>
      </c>
      <c r="L19" s="43">
        <v>32.2</v>
      </c>
    </row>
    <row r="20" spans="1:12" ht="12.75">
      <c r="A20" s="40">
        <v>17</v>
      </c>
      <c r="B20" s="41">
        <v>1.5</v>
      </c>
      <c r="C20" s="90">
        <v>0.79</v>
      </c>
      <c r="D20" s="55">
        <v>1.9</v>
      </c>
      <c r="E20" s="55">
        <v>0.145</v>
      </c>
      <c r="F20" s="55">
        <f t="shared" si="1"/>
        <v>1.6099999999999999</v>
      </c>
      <c r="H20" s="40">
        <v>170</v>
      </c>
      <c r="I20" s="42">
        <v>5.92</v>
      </c>
      <c r="K20" s="40">
        <v>17</v>
      </c>
      <c r="L20" s="43">
        <v>32.1</v>
      </c>
    </row>
    <row r="21" spans="1:12" ht="12.75">
      <c r="A21" s="40">
        <v>18</v>
      </c>
      <c r="B21" s="41">
        <v>1.5</v>
      </c>
      <c r="C21" s="90">
        <v>0.88</v>
      </c>
      <c r="D21" s="55">
        <v>1.9</v>
      </c>
      <c r="E21" s="55">
        <v>0.145</v>
      </c>
      <c r="F21" s="55">
        <f t="shared" si="1"/>
        <v>1.6099999999999999</v>
      </c>
      <c r="H21" s="40">
        <v>180</v>
      </c>
      <c r="I21" s="42">
        <v>7.02</v>
      </c>
      <c r="K21" s="40">
        <v>18</v>
      </c>
      <c r="L21" s="43">
        <v>32.1</v>
      </c>
    </row>
    <row r="22" spans="1:12" ht="12.75">
      <c r="A22" s="40">
        <v>19</v>
      </c>
      <c r="B22" s="41">
        <v>1.5</v>
      </c>
      <c r="C22" s="90">
        <v>0.97</v>
      </c>
      <c r="D22" s="55">
        <v>1.9</v>
      </c>
      <c r="E22" s="55">
        <v>0.145</v>
      </c>
      <c r="F22" s="55">
        <f t="shared" si="1"/>
        <v>1.6099999999999999</v>
      </c>
      <c r="H22" s="40">
        <v>190</v>
      </c>
      <c r="I22" s="42">
        <v>8.21</v>
      </c>
      <c r="K22" s="40">
        <v>19</v>
      </c>
      <c r="L22" s="43">
        <v>32</v>
      </c>
    </row>
    <row r="23" spans="1:12" ht="12.75">
      <c r="A23" s="40">
        <v>20</v>
      </c>
      <c r="B23" s="41">
        <v>1.5</v>
      </c>
      <c r="C23" s="40">
        <v>1.07</v>
      </c>
      <c r="D23" s="55">
        <v>1.9</v>
      </c>
      <c r="E23" s="55">
        <v>0.145</v>
      </c>
      <c r="F23" s="55">
        <f t="shared" si="1"/>
        <v>1.6099999999999999</v>
      </c>
      <c r="H23" s="40">
        <v>200</v>
      </c>
      <c r="I23" s="42">
        <v>9.49</v>
      </c>
      <c r="K23" s="40">
        <v>20</v>
      </c>
      <c r="L23" s="43">
        <v>31.9</v>
      </c>
    </row>
    <row r="24" spans="1:12" ht="12.75">
      <c r="A24" s="40">
        <v>21</v>
      </c>
      <c r="B24" s="41">
        <v>1.5</v>
      </c>
      <c r="C24" s="40">
        <v>1.17</v>
      </c>
      <c r="D24" s="55">
        <v>1.9</v>
      </c>
      <c r="E24" s="55">
        <v>0.145</v>
      </c>
      <c r="F24" s="55">
        <f t="shared" si="0"/>
        <v>1.6099999999999999</v>
      </c>
      <c r="H24" s="40">
        <v>210</v>
      </c>
      <c r="I24" s="42">
        <v>10.91</v>
      </c>
      <c r="K24" s="40">
        <v>21</v>
      </c>
      <c r="L24" s="43">
        <v>31.8</v>
      </c>
    </row>
    <row r="25" spans="1:12" ht="12.75">
      <c r="A25" s="40">
        <v>22</v>
      </c>
      <c r="B25" s="41">
        <v>1.5</v>
      </c>
      <c r="C25" s="40">
        <v>1.28</v>
      </c>
      <c r="D25" s="55">
        <v>1.9</v>
      </c>
      <c r="E25" s="55">
        <v>0.145</v>
      </c>
      <c r="F25" s="55">
        <f t="shared" si="0"/>
        <v>1.6099999999999999</v>
      </c>
      <c r="H25" s="40">
        <v>220</v>
      </c>
      <c r="I25" s="42">
        <v>12.5</v>
      </c>
      <c r="K25" s="40">
        <v>22</v>
      </c>
      <c r="L25" s="43">
        <v>31.8</v>
      </c>
    </row>
    <row r="26" spans="1:12" ht="12.75">
      <c r="A26" s="40">
        <v>23</v>
      </c>
      <c r="B26" s="41">
        <v>1.5</v>
      </c>
      <c r="C26" s="40">
        <v>1.4</v>
      </c>
      <c r="D26" s="55">
        <v>1.9</v>
      </c>
      <c r="E26" s="55">
        <v>0.145</v>
      </c>
      <c r="F26" s="55">
        <f t="shared" si="0"/>
        <v>1.6099999999999999</v>
      </c>
      <c r="H26" s="40">
        <v>230</v>
      </c>
      <c r="I26" s="42">
        <v>14.27</v>
      </c>
      <c r="K26" s="40">
        <v>23</v>
      </c>
      <c r="L26" s="43">
        <v>31.7</v>
      </c>
    </row>
    <row r="27" spans="1:12" ht="12.75">
      <c r="A27" s="40">
        <v>24</v>
      </c>
      <c r="B27" s="41">
        <v>1.5</v>
      </c>
      <c r="C27" s="40">
        <v>1.51</v>
      </c>
      <c r="D27" s="55">
        <v>1.9</v>
      </c>
      <c r="E27" s="55">
        <v>0.145</v>
      </c>
      <c r="F27" s="55">
        <f t="shared" si="0"/>
        <v>1.6099999999999999</v>
      </c>
      <c r="H27" s="40">
        <v>240</v>
      </c>
      <c r="I27" s="42">
        <v>16.16</v>
      </c>
      <c r="K27" s="40">
        <v>24</v>
      </c>
      <c r="L27" s="43">
        <v>31.6</v>
      </c>
    </row>
    <row r="28" spans="1:12" ht="12.75">
      <c r="A28" s="40">
        <v>25</v>
      </c>
      <c r="B28" s="41">
        <v>1.5</v>
      </c>
      <c r="C28" s="40">
        <v>1.63</v>
      </c>
      <c r="D28" s="55">
        <v>1.9</v>
      </c>
      <c r="E28" s="55">
        <v>0.145</v>
      </c>
      <c r="F28" s="55">
        <f t="shared" si="0"/>
        <v>1.6099999999999999</v>
      </c>
      <c r="H28" s="40">
        <v>250</v>
      </c>
      <c r="I28" s="42">
        <v>18.18</v>
      </c>
      <c r="K28" s="40">
        <v>25</v>
      </c>
      <c r="L28" s="43">
        <v>31.5</v>
      </c>
    </row>
    <row r="29" spans="1:12" ht="12.75">
      <c r="A29" s="40">
        <v>26</v>
      </c>
      <c r="B29" s="41">
        <v>1.5</v>
      </c>
      <c r="C29" s="40">
        <v>1.75</v>
      </c>
      <c r="D29" s="55">
        <v>1.9</v>
      </c>
      <c r="E29" s="55">
        <v>0.145</v>
      </c>
      <c r="F29" s="55">
        <f t="shared" si="0"/>
        <v>1.6099999999999999</v>
      </c>
      <c r="H29" s="40">
        <v>260</v>
      </c>
      <c r="I29" s="42">
        <v>20.37</v>
      </c>
      <c r="K29" s="40">
        <v>26</v>
      </c>
      <c r="L29" s="43">
        <v>31.4</v>
      </c>
    </row>
    <row r="30" spans="1:12" ht="12.75">
      <c r="A30" s="40">
        <v>27</v>
      </c>
      <c r="B30" s="41">
        <v>1.5</v>
      </c>
      <c r="C30" s="40">
        <v>1.88</v>
      </c>
      <c r="D30" s="55">
        <v>1.9</v>
      </c>
      <c r="E30" s="55">
        <v>0.145</v>
      </c>
      <c r="F30" s="55">
        <f t="shared" si="0"/>
        <v>1.6099999999999999</v>
      </c>
      <c r="H30" s="40">
        <v>270</v>
      </c>
      <c r="I30" s="42">
        <v>22.77</v>
      </c>
      <c r="K30" s="40">
        <v>27</v>
      </c>
      <c r="L30" s="43">
        <v>31.3</v>
      </c>
    </row>
    <row r="31" spans="1:12" ht="12.75">
      <c r="A31" s="40">
        <v>28</v>
      </c>
      <c r="B31" s="41">
        <v>1.5</v>
      </c>
      <c r="C31" s="40">
        <v>2.01</v>
      </c>
      <c r="D31" s="55">
        <v>1.9</v>
      </c>
      <c r="E31" s="55">
        <v>0.145</v>
      </c>
      <c r="F31" s="55">
        <f t="shared" si="0"/>
        <v>1.6099999999999999</v>
      </c>
      <c r="H31" s="40">
        <v>280</v>
      </c>
      <c r="I31" s="42">
        <v>25.36</v>
      </c>
      <c r="K31" s="40">
        <v>28</v>
      </c>
      <c r="L31" s="43">
        <v>31.2</v>
      </c>
    </row>
    <row r="32" spans="1:12" ht="12.75">
      <c r="A32" s="40">
        <v>29</v>
      </c>
      <c r="B32" s="41">
        <v>1.5</v>
      </c>
      <c r="C32" s="40">
        <v>2.14</v>
      </c>
      <c r="D32" s="55">
        <v>1.9</v>
      </c>
      <c r="E32" s="55">
        <v>0.145</v>
      </c>
      <c r="F32" s="55">
        <f t="shared" si="0"/>
        <v>1.6099999999999999</v>
      </c>
      <c r="H32" s="40">
        <v>290</v>
      </c>
      <c r="I32" s="42">
        <v>28.1</v>
      </c>
      <c r="K32" s="40">
        <v>29</v>
      </c>
      <c r="L32" s="43">
        <v>31.1</v>
      </c>
    </row>
    <row r="33" spans="1:12" ht="12.75">
      <c r="A33" s="40">
        <v>30</v>
      </c>
      <c r="B33" s="41" t="s">
        <v>28</v>
      </c>
      <c r="C33" s="41" t="s">
        <v>28</v>
      </c>
      <c r="D33" s="55">
        <v>0</v>
      </c>
      <c r="E33" s="55">
        <v>0</v>
      </c>
      <c r="F33" s="55">
        <f t="shared" si="0"/>
        <v>0</v>
      </c>
      <c r="H33" s="40">
        <v>300</v>
      </c>
      <c r="I33" s="42">
        <v>30.98</v>
      </c>
      <c r="K33" s="40">
        <v>30</v>
      </c>
      <c r="L33" s="43">
        <v>31</v>
      </c>
    </row>
    <row r="34" spans="1:12" ht="12.75">
      <c r="A34" s="40">
        <v>31</v>
      </c>
      <c r="B34" s="41" t="s">
        <v>28</v>
      </c>
      <c r="C34" s="41" t="s">
        <v>28</v>
      </c>
      <c r="D34" s="55">
        <v>0</v>
      </c>
      <c r="E34" s="55">
        <v>0</v>
      </c>
      <c r="F34" s="55">
        <f t="shared" si="0"/>
        <v>0</v>
      </c>
      <c r="H34" s="40">
        <v>310</v>
      </c>
      <c r="I34" s="42">
        <v>34.05</v>
      </c>
      <c r="K34" s="40">
        <v>31</v>
      </c>
      <c r="L34" s="43">
        <v>30.9</v>
      </c>
    </row>
    <row r="35" spans="1:12" ht="12.75">
      <c r="A35" s="40">
        <v>32</v>
      </c>
      <c r="B35" s="41" t="s">
        <v>28</v>
      </c>
      <c r="C35" s="41" t="s">
        <v>28</v>
      </c>
      <c r="D35" s="55">
        <v>0</v>
      </c>
      <c r="E35" s="55">
        <v>0</v>
      </c>
      <c r="F35" s="55">
        <f t="shared" si="0"/>
        <v>0</v>
      </c>
      <c r="H35" s="40">
        <v>320</v>
      </c>
      <c r="I35" s="42">
        <v>37.34</v>
      </c>
      <c r="K35" s="40">
        <v>32</v>
      </c>
      <c r="L35" s="43">
        <v>30.8</v>
      </c>
    </row>
    <row r="36" spans="1:12" ht="12.75">
      <c r="A36" s="40">
        <v>33</v>
      </c>
      <c r="B36" s="41" t="s">
        <v>28</v>
      </c>
      <c r="C36" s="41" t="s">
        <v>28</v>
      </c>
      <c r="D36" s="55">
        <v>0</v>
      </c>
      <c r="E36" s="55">
        <v>0</v>
      </c>
      <c r="F36" s="55">
        <f t="shared" si="0"/>
        <v>0</v>
      </c>
      <c r="H36" s="40">
        <v>330</v>
      </c>
      <c r="I36" s="42">
        <v>40.85</v>
      </c>
      <c r="K36" s="40">
        <v>33</v>
      </c>
      <c r="L36" s="43">
        <v>30.7</v>
      </c>
    </row>
    <row r="37" spans="1:12" ht="12.75">
      <c r="A37" s="40">
        <v>34</v>
      </c>
      <c r="B37" s="41" t="s">
        <v>28</v>
      </c>
      <c r="C37" s="41" t="s">
        <v>28</v>
      </c>
      <c r="D37" s="55">
        <v>0</v>
      </c>
      <c r="E37" s="55">
        <v>0</v>
      </c>
      <c r="F37" s="55">
        <f t="shared" si="0"/>
        <v>0</v>
      </c>
      <c r="H37" s="40">
        <v>340</v>
      </c>
      <c r="I37" s="42">
        <v>44.57</v>
      </c>
      <c r="K37" s="40">
        <v>34</v>
      </c>
      <c r="L37" s="43">
        <v>30.6</v>
      </c>
    </row>
    <row r="38" spans="1:12" ht="12.75">
      <c r="A38" s="40">
        <v>35</v>
      </c>
      <c r="B38" s="41" t="s">
        <v>28</v>
      </c>
      <c r="C38" s="41" t="s">
        <v>28</v>
      </c>
      <c r="D38" s="55">
        <v>0</v>
      </c>
      <c r="E38" s="55">
        <v>0</v>
      </c>
      <c r="F38" s="55">
        <f t="shared" si="0"/>
        <v>0</v>
      </c>
      <c r="H38" s="40">
        <v>350</v>
      </c>
      <c r="I38" s="42">
        <v>48.51</v>
      </c>
      <c r="K38" s="40">
        <v>35</v>
      </c>
      <c r="L38" s="43">
        <v>30.5</v>
      </c>
    </row>
    <row r="39" spans="1:12" ht="12.75">
      <c r="A39" s="40">
        <v>36</v>
      </c>
      <c r="B39" s="41" t="s">
        <v>28</v>
      </c>
      <c r="C39" s="41" t="s">
        <v>28</v>
      </c>
      <c r="D39" s="55">
        <v>0</v>
      </c>
      <c r="E39" s="55">
        <v>0</v>
      </c>
      <c r="F39" s="55">
        <f t="shared" si="0"/>
        <v>0</v>
      </c>
      <c r="H39" s="40">
        <v>360</v>
      </c>
      <c r="I39" s="42">
        <v>52.69</v>
      </c>
      <c r="K39" s="40">
        <v>36</v>
      </c>
      <c r="L39" s="43">
        <v>30.5</v>
      </c>
    </row>
    <row r="40" spans="1:12" ht="12.75">
      <c r="A40" s="40">
        <v>37</v>
      </c>
      <c r="B40" s="41" t="s">
        <v>28</v>
      </c>
      <c r="C40" s="41" t="s">
        <v>28</v>
      </c>
      <c r="D40" s="55">
        <v>0</v>
      </c>
      <c r="E40" s="55">
        <v>0</v>
      </c>
      <c r="F40" s="55">
        <f t="shared" si="0"/>
        <v>0</v>
      </c>
      <c r="H40" s="40">
        <v>370</v>
      </c>
      <c r="I40" s="42">
        <v>57.14</v>
      </c>
      <c r="K40" s="40">
        <v>37</v>
      </c>
      <c r="L40" s="43">
        <v>30.4</v>
      </c>
    </row>
    <row r="41" spans="1:12" ht="12.75">
      <c r="A41" s="40">
        <v>38</v>
      </c>
      <c r="B41" s="41" t="s">
        <v>28</v>
      </c>
      <c r="C41" s="41" t="s">
        <v>28</v>
      </c>
      <c r="D41" s="55">
        <v>0</v>
      </c>
      <c r="E41" s="55">
        <v>0</v>
      </c>
      <c r="F41" s="55">
        <f t="shared" si="0"/>
        <v>0</v>
      </c>
      <c r="H41" s="40">
        <v>380</v>
      </c>
      <c r="I41" s="42">
        <v>61.87</v>
      </c>
      <c r="K41" s="40">
        <v>38</v>
      </c>
      <c r="L41" s="43">
        <v>30.3</v>
      </c>
    </row>
    <row r="42" spans="1:12" ht="12.75">
      <c r="A42" s="40">
        <v>39</v>
      </c>
      <c r="B42" s="41" t="s">
        <v>28</v>
      </c>
      <c r="C42" s="41" t="s">
        <v>28</v>
      </c>
      <c r="D42" s="55">
        <v>0</v>
      </c>
      <c r="E42" s="55">
        <v>0</v>
      </c>
      <c r="F42" s="55">
        <f t="shared" si="0"/>
        <v>0</v>
      </c>
      <c r="H42" s="40">
        <v>390</v>
      </c>
      <c r="I42" s="42">
        <v>66.85</v>
      </c>
      <c r="K42" s="40">
        <v>39</v>
      </c>
      <c r="L42" s="43">
        <v>30.2</v>
      </c>
    </row>
    <row r="43" spans="1:12" ht="12.75">
      <c r="A43" s="40">
        <v>40</v>
      </c>
      <c r="B43" s="41" t="s">
        <v>28</v>
      </c>
      <c r="C43" s="41" t="s">
        <v>28</v>
      </c>
      <c r="D43" s="55">
        <v>0</v>
      </c>
      <c r="E43" s="55">
        <v>0</v>
      </c>
      <c r="F43" s="55">
        <f t="shared" si="0"/>
        <v>0</v>
      </c>
      <c r="H43" s="40">
        <v>400</v>
      </c>
      <c r="I43" s="42">
        <v>72.07</v>
      </c>
      <c r="K43" s="40">
        <v>40</v>
      </c>
      <c r="L43" s="43">
        <v>30.1</v>
      </c>
    </row>
    <row r="44" spans="1:12" ht="12.75">
      <c r="A44" s="40">
        <v>41</v>
      </c>
      <c r="B44" s="41" t="s">
        <v>28</v>
      </c>
      <c r="C44" s="41" t="s">
        <v>28</v>
      </c>
      <c r="D44" s="55">
        <v>0</v>
      </c>
      <c r="E44" s="55">
        <v>0</v>
      </c>
      <c r="F44" s="55">
        <f t="shared" si="0"/>
        <v>0</v>
      </c>
      <c r="H44" s="40">
        <v>410</v>
      </c>
      <c r="I44" s="42">
        <v>77.83</v>
      </c>
      <c r="K44" s="40">
        <v>41</v>
      </c>
      <c r="L44" s="43">
        <v>30</v>
      </c>
    </row>
    <row r="45" spans="1:12" ht="12.75">
      <c r="A45" s="40">
        <v>42</v>
      </c>
      <c r="B45" s="41" t="s">
        <v>28</v>
      </c>
      <c r="C45" s="41" t="s">
        <v>28</v>
      </c>
      <c r="D45" s="55">
        <v>0</v>
      </c>
      <c r="E45" s="55">
        <v>0</v>
      </c>
      <c r="F45" s="55">
        <f t="shared" si="0"/>
        <v>0</v>
      </c>
      <c r="H45" s="40">
        <v>420</v>
      </c>
      <c r="I45" s="42">
        <v>83.84</v>
      </c>
      <c r="K45" s="40">
        <v>42</v>
      </c>
      <c r="L45" s="43">
        <v>29.9</v>
      </c>
    </row>
    <row r="46" spans="1:12" ht="12.75">
      <c r="A46" s="40">
        <v>43</v>
      </c>
      <c r="B46" s="41" t="s">
        <v>28</v>
      </c>
      <c r="C46" s="41" t="s">
        <v>28</v>
      </c>
      <c r="D46" s="55">
        <v>0</v>
      </c>
      <c r="E46" s="55">
        <v>0</v>
      </c>
      <c r="F46" s="55">
        <f t="shared" si="0"/>
        <v>0</v>
      </c>
      <c r="H46" s="40">
        <v>430</v>
      </c>
      <c r="I46" s="42">
        <v>89.87</v>
      </c>
      <c r="K46" s="40">
        <v>43</v>
      </c>
      <c r="L46" s="43">
        <v>29.8</v>
      </c>
    </row>
    <row r="47" spans="1:12" ht="12.75">
      <c r="A47" s="40">
        <v>44</v>
      </c>
      <c r="B47" s="41" t="s">
        <v>28</v>
      </c>
      <c r="C47" s="41" t="s">
        <v>28</v>
      </c>
      <c r="D47" s="55">
        <v>0</v>
      </c>
      <c r="E47" s="55">
        <v>0</v>
      </c>
      <c r="F47" s="55">
        <f t="shared" si="0"/>
        <v>0</v>
      </c>
      <c r="H47" s="40">
        <v>440</v>
      </c>
      <c r="I47" s="42">
        <v>95.93</v>
      </c>
      <c r="K47" s="40">
        <v>44</v>
      </c>
      <c r="L47" s="43">
        <v>29.7</v>
      </c>
    </row>
    <row r="48" spans="1:12" ht="12.75">
      <c r="A48" s="40">
        <v>45</v>
      </c>
      <c r="B48" s="41" t="s">
        <v>28</v>
      </c>
      <c r="C48" s="41" t="s">
        <v>28</v>
      </c>
      <c r="D48" s="55">
        <v>0</v>
      </c>
      <c r="E48" s="55">
        <v>0</v>
      </c>
      <c r="F48" s="55">
        <f t="shared" si="0"/>
        <v>0</v>
      </c>
      <c r="H48" s="40">
        <v>450</v>
      </c>
      <c r="I48" s="42">
        <v>102.01</v>
      </c>
      <c r="K48" s="40">
        <v>45</v>
      </c>
      <c r="L48" s="43">
        <v>29.6</v>
      </c>
    </row>
    <row r="49" spans="1:12" ht="12.75">
      <c r="A49" s="40">
        <v>46</v>
      </c>
      <c r="B49" s="41" t="s">
        <v>28</v>
      </c>
      <c r="C49" s="41" t="s">
        <v>28</v>
      </c>
      <c r="D49" s="55">
        <v>0</v>
      </c>
      <c r="E49" s="55">
        <v>0</v>
      </c>
      <c r="F49" s="55">
        <f t="shared" si="0"/>
        <v>0</v>
      </c>
      <c r="H49" s="40">
        <v>460</v>
      </c>
      <c r="I49" s="42">
        <v>108.42</v>
      </c>
      <c r="K49" s="40">
        <v>46</v>
      </c>
      <c r="L49" s="43">
        <v>29.5</v>
      </c>
    </row>
    <row r="50" spans="1:12" ht="12.75">
      <c r="A50" s="40">
        <v>47</v>
      </c>
      <c r="B50" s="41" t="s">
        <v>28</v>
      </c>
      <c r="C50" s="41" t="s">
        <v>28</v>
      </c>
      <c r="D50" s="55">
        <v>0</v>
      </c>
      <c r="E50" s="55">
        <v>0</v>
      </c>
      <c r="F50" s="55">
        <f t="shared" si="0"/>
        <v>0</v>
      </c>
      <c r="H50" s="40">
        <v>470</v>
      </c>
      <c r="I50" s="42">
        <v>115.48</v>
      </c>
      <c r="K50" s="40">
        <v>47</v>
      </c>
      <c r="L50" s="43">
        <v>29.4</v>
      </c>
    </row>
    <row r="51" spans="1:12" ht="12.75">
      <c r="A51" s="40">
        <v>48</v>
      </c>
      <c r="B51" s="41" t="s">
        <v>28</v>
      </c>
      <c r="C51" s="41" t="s">
        <v>28</v>
      </c>
      <c r="D51" s="55">
        <v>0</v>
      </c>
      <c r="E51" s="55">
        <v>0</v>
      </c>
      <c r="F51" s="55">
        <f t="shared" si="0"/>
        <v>0</v>
      </c>
      <c r="H51" s="40">
        <v>480</v>
      </c>
      <c r="I51" s="42">
        <v>122.95</v>
      </c>
      <c r="K51" s="40">
        <v>48</v>
      </c>
      <c r="L51" s="43">
        <v>29.3</v>
      </c>
    </row>
    <row r="52" spans="1:12" ht="12.75">
      <c r="A52" s="40">
        <v>49</v>
      </c>
      <c r="B52" s="41" t="s">
        <v>28</v>
      </c>
      <c r="C52" s="41" t="s">
        <v>28</v>
      </c>
      <c r="D52" s="55">
        <v>0</v>
      </c>
      <c r="E52" s="55">
        <v>0</v>
      </c>
      <c r="F52" s="55">
        <f t="shared" si="0"/>
        <v>0</v>
      </c>
      <c r="H52" s="40">
        <v>490</v>
      </c>
      <c r="I52" s="42">
        <v>130.65</v>
      </c>
      <c r="K52" s="40">
        <v>49</v>
      </c>
      <c r="L52" s="43">
        <v>29.2</v>
      </c>
    </row>
    <row r="53" spans="1:12" ht="12.75">
      <c r="A53" s="40">
        <v>50</v>
      </c>
      <c r="B53" s="41" t="s">
        <v>28</v>
      </c>
      <c r="C53" s="41" t="s">
        <v>28</v>
      </c>
      <c r="D53" s="55">
        <v>0</v>
      </c>
      <c r="E53" s="55">
        <v>0</v>
      </c>
      <c r="F53" s="55">
        <v>0</v>
      </c>
      <c r="H53" s="40">
        <v>500</v>
      </c>
      <c r="I53" s="42">
        <v>138.6</v>
      </c>
      <c r="K53" s="40">
        <v>50</v>
      </c>
      <c r="L53" s="43">
        <v>29.1</v>
      </c>
    </row>
    <row r="54" spans="11:12" ht="12.75">
      <c r="K54" s="40">
        <v>51</v>
      </c>
      <c r="L54" s="43">
        <v>29</v>
      </c>
    </row>
    <row r="55" spans="11:12" ht="12.75">
      <c r="K55" s="40">
        <v>52</v>
      </c>
      <c r="L55" s="43">
        <v>28.8</v>
      </c>
    </row>
    <row r="56" spans="1:12" ht="15.75" customHeight="1">
      <c r="A56" s="15" t="s">
        <v>35</v>
      </c>
      <c r="B56" s="15"/>
      <c r="C56" s="16"/>
      <c r="D56" s="16"/>
      <c r="E56" s="16"/>
      <c r="F56" s="16"/>
      <c r="G56" s="17"/>
      <c r="H56" s="18"/>
      <c r="I56" s="47"/>
      <c r="K56" s="40">
        <v>53</v>
      </c>
      <c r="L56" s="43">
        <v>28.7</v>
      </c>
    </row>
    <row r="57" spans="1:12" ht="12.75">
      <c r="A57" s="109" t="s">
        <v>30</v>
      </c>
      <c r="B57" s="109"/>
      <c r="C57" s="109"/>
      <c r="D57" s="109"/>
      <c r="E57" s="109"/>
      <c r="F57" s="109"/>
      <c r="G57" s="109"/>
      <c r="H57" s="109"/>
      <c r="I57" s="47"/>
      <c r="K57" s="40">
        <v>54</v>
      </c>
      <c r="L57" s="43">
        <v>28.6</v>
      </c>
    </row>
    <row r="58" spans="1:12" ht="12.75">
      <c r="A58" s="110" t="s">
        <v>31</v>
      </c>
      <c r="B58" s="110"/>
      <c r="C58" s="110"/>
      <c r="D58" s="110"/>
      <c r="E58" s="110"/>
      <c r="F58" s="110"/>
      <c r="G58" s="110"/>
      <c r="H58" s="110"/>
      <c r="I58" s="47"/>
      <c r="K58" s="40">
        <v>55</v>
      </c>
      <c r="L58" s="43">
        <v>28.4</v>
      </c>
    </row>
    <row r="59" spans="1:12" ht="12.75">
      <c r="A59" s="106" t="s">
        <v>37</v>
      </c>
      <c r="B59" s="107"/>
      <c r="C59" s="9" t="s">
        <v>36</v>
      </c>
      <c r="D59" s="53"/>
      <c r="E59" s="53"/>
      <c r="F59" s="53"/>
      <c r="H59" s="104" t="s">
        <v>69</v>
      </c>
      <c r="I59" s="104"/>
      <c r="K59" s="40">
        <v>56</v>
      </c>
      <c r="L59" s="43">
        <v>28.3</v>
      </c>
    </row>
    <row r="60" spans="1:12" ht="12.75">
      <c r="A60" s="9" t="s">
        <v>32</v>
      </c>
      <c r="B60" s="9" t="s">
        <v>33</v>
      </c>
      <c r="C60" s="9" t="s">
        <v>34</v>
      </c>
      <c r="D60" s="53"/>
      <c r="E60" s="53"/>
      <c r="F60" s="53"/>
      <c r="H60" s="9" t="s">
        <v>68</v>
      </c>
      <c r="I60" s="14" t="s">
        <v>65</v>
      </c>
      <c r="K60" s="40">
        <v>57</v>
      </c>
      <c r="L60" s="43">
        <v>28.1</v>
      </c>
    </row>
    <row r="61" spans="1:12" ht="12.75">
      <c r="A61" s="48">
        <v>10</v>
      </c>
      <c r="B61" s="49">
        <f>A61*2.31</f>
        <v>23.1</v>
      </c>
      <c r="C61" s="50">
        <v>175</v>
      </c>
      <c r="D61" s="54"/>
      <c r="E61" s="54"/>
      <c r="F61" s="54"/>
      <c r="H61" s="40">
        <v>0</v>
      </c>
      <c r="I61" s="42">
        <v>0</v>
      </c>
      <c r="K61" s="40">
        <v>58</v>
      </c>
      <c r="L61" s="43">
        <v>28</v>
      </c>
    </row>
    <row r="62" spans="1:12" ht="12.75">
      <c r="A62" s="48">
        <v>11</v>
      </c>
      <c r="B62" s="49">
        <f aca="true" t="shared" si="2" ref="B62:B96">A62*2.31</f>
        <v>25.41</v>
      </c>
      <c r="C62" s="50">
        <v>182</v>
      </c>
      <c r="D62" s="54"/>
      <c r="E62" s="54"/>
      <c r="F62" s="54"/>
      <c r="H62" s="40">
        <v>1</v>
      </c>
      <c r="I62" s="42">
        <v>0.02</v>
      </c>
      <c r="K62" s="40">
        <v>59</v>
      </c>
      <c r="L62" s="43">
        <v>27.8</v>
      </c>
    </row>
    <row r="63" spans="1:12" ht="12.75">
      <c r="A63" s="48">
        <v>12</v>
      </c>
      <c r="B63" s="49">
        <f t="shared" si="2"/>
        <v>27.72</v>
      </c>
      <c r="C63" s="50">
        <v>189</v>
      </c>
      <c r="D63" s="54"/>
      <c r="E63" s="54"/>
      <c r="F63" s="54"/>
      <c r="H63" s="40">
        <v>2</v>
      </c>
      <c r="I63" s="42">
        <v>0.11</v>
      </c>
      <c r="K63" s="40">
        <v>60</v>
      </c>
      <c r="L63" s="43">
        <v>27.7</v>
      </c>
    </row>
    <row r="64" spans="1:12" ht="12.75">
      <c r="A64" s="48">
        <v>13</v>
      </c>
      <c r="B64" s="49">
        <f t="shared" si="2"/>
        <v>30.03</v>
      </c>
      <c r="C64" s="50">
        <v>197</v>
      </c>
      <c r="D64" s="54"/>
      <c r="E64" s="54"/>
      <c r="F64" s="54"/>
      <c r="H64" s="40">
        <v>3</v>
      </c>
      <c r="I64" s="42">
        <v>0.13</v>
      </c>
      <c r="K64" s="40">
        <v>61</v>
      </c>
      <c r="L64" s="43">
        <v>27.5</v>
      </c>
    </row>
    <row r="65" spans="1:12" ht="12.75">
      <c r="A65" s="48">
        <v>14</v>
      </c>
      <c r="B65" s="49">
        <f t="shared" si="2"/>
        <v>32.34</v>
      </c>
      <c r="C65" s="50">
        <v>204</v>
      </c>
      <c r="D65" s="54"/>
      <c r="E65" s="54"/>
      <c r="F65" s="54"/>
      <c r="H65" s="40">
        <v>4</v>
      </c>
      <c r="I65" s="42">
        <v>0.24</v>
      </c>
      <c r="K65" s="40">
        <v>62</v>
      </c>
      <c r="L65" s="43">
        <v>27.3</v>
      </c>
    </row>
    <row r="66" spans="1:12" ht="12.75">
      <c r="A66" s="48">
        <v>15</v>
      </c>
      <c r="B66" s="49">
        <f t="shared" si="2"/>
        <v>34.65</v>
      </c>
      <c r="C66" s="50">
        <v>211</v>
      </c>
      <c r="D66" s="54"/>
      <c r="E66" s="54"/>
      <c r="F66" s="54"/>
      <c r="H66" s="40">
        <v>5</v>
      </c>
      <c r="I66" s="42">
        <v>0.44</v>
      </c>
      <c r="K66" s="40">
        <v>63</v>
      </c>
      <c r="L66" s="43">
        <v>27.2</v>
      </c>
    </row>
    <row r="67" spans="1:12" ht="12.75">
      <c r="A67" s="48">
        <v>16</v>
      </c>
      <c r="B67" s="49">
        <f t="shared" si="2"/>
        <v>36.96</v>
      </c>
      <c r="C67" s="50">
        <v>222</v>
      </c>
      <c r="D67" s="54"/>
      <c r="E67" s="54"/>
      <c r="F67" s="54"/>
      <c r="H67" s="40">
        <v>6</v>
      </c>
      <c r="I67" s="42">
        <v>0.69</v>
      </c>
      <c r="K67" s="40">
        <v>64</v>
      </c>
      <c r="L67" s="43">
        <v>27</v>
      </c>
    </row>
    <row r="68" spans="1:12" ht="12.75">
      <c r="A68" s="48">
        <v>17</v>
      </c>
      <c r="B68" s="49">
        <f t="shared" si="2"/>
        <v>39.27</v>
      </c>
      <c r="C68" s="50">
        <v>233</v>
      </c>
      <c r="D68" s="54"/>
      <c r="E68" s="54"/>
      <c r="F68" s="54"/>
      <c r="H68" s="40">
        <v>7</v>
      </c>
      <c r="I68" s="42">
        <v>0.94</v>
      </c>
      <c r="K68" s="40">
        <v>65</v>
      </c>
      <c r="L68" s="43">
        <v>26.8</v>
      </c>
    </row>
    <row r="69" spans="1:12" ht="12.75">
      <c r="A69" s="48">
        <v>18</v>
      </c>
      <c r="B69" s="49">
        <f t="shared" si="2"/>
        <v>41.58</v>
      </c>
      <c r="C69" s="50">
        <v>243</v>
      </c>
      <c r="D69" s="54"/>
      <c r="E69" s="54"/>
      <c r="F69" s="54"/>
      <c r="H69" s="40">
        <v>8</v>
      </c>
      <c r="I69" s="42">
        <v>1.2</v>
      </c>
      <c r="K69" s="40">
        <v>66</v>
      </c>
      <c r="L69" s="43">
        <v>26.7</v>
      </c>
    </row>
    <row r="70" spans="1:12" ht="12.75">
      <c r="A70" s="48">
        <v>19</v>
      </c>
      <c r="B70" s="49">
        <f t="shared" si="2"/>
        <v>43.89</v>
      </c>
      <c r="C70" s="50">
        <v>254</v>
      </c>
      <c r="D70" s="54"/>
      <c r="E70" s="54"/>
      <c r="F70" s="54"/>
      <c r="H70" s="40">
        <v>9</v>
      </c>
      <c r="I70" s="42">
        <v>1.46</v>
      </c>
      <c r="K70" s="40">
        <v>67</v>
      </c>
      <c r="L70" s="43">
        <v>26.5</v>
      </c>
    </row>
    <row r="71" spans="1:12" ht="12.75">
      <c r="A71" s="48">
        <v>20</v>
      </c>
      <c r="B71" s="49">
        <f t="shared" si="2"/>
        <v>46.2</v>
      </c>
      <c r="C71" s="50">
        <v>265</v>
      </c>
      <c r="D71" s="54"/>
      <c r="E71" s="54"/>
      <c r="F71" s="54"/>
      <c r="H71" s="40">
        <v>10</v>
      </c>
      <c r="I71" s="42">
        <v>1.78</v>
      </c>
      <c r="K71" s="40">
        <v>68</v>
      </c>
      <c r="L71" s="43">
        <v>26.3</v>
      </c>
    </row>
    <row r="72" spans="1:12" ht="12.75">
      <c r="A72" s="48">
        <v>21</v>
      </c>
      <c r="B72" s="49">
        <f t="shared" si="2"/>
        <v>48.51</v>
      </c>
      <c r="C72" s="50">
        <v>275</v>
      </c>
      <c r="D72" s="54"/>
      <c r="E72" s="54"/>
      <c r="F72" s="54"/>
      <c r="H72" s="40">
        <v>11</v>
      </c>
      <c r="I72" s="42">
        <v>2.2</v>
      </c>
      <c r="K72" s="40">
        <v>69</v>
      </c>
      <c r="L72" s="43">
        <v>26.1</v>
      </c>
    </row>
    <row r="73" spans="1:12" ht="12.75">
      <c r="A73" s="48">
        <v>22</v>
      </c>
      <c r="B73" s="49">
        <f t="shared" si="2"/>
        <v>50.82</v>
      </c>
      <c r="C73" s="50">
        <v>285</v>
      </c>
      <c r="D73" s="54"/>
      <c r="E73" s="54"/>
      <c r="F73" s="54"/>
      <c r="H73" s="40">
        <v>12</v>
      </c>
      <c r="I73" s="42">
        <v>2.63</v>
      </c>
      <c r="K73" s="40">
        <v>70</v>
      </c>
      <c r="L73" s="43">
        <v>26</v>
      </c>
    </row>
    <row r="74" spans="1:12" ht="12.75">
      <c r="A74" s="48">
        <v>23</v>
      </c>
      <c r="B74" s="49">
        <f t="shared" si="2"/>
        <v>53.13</v>
      </c>
      <c r="C74" s="50">
        <v>295</v>
      </c>
      <c r="D74" s="54"/>
      <c r="E74" s="54"/>
      <c r="F74" s="54"/>
      <c r="H74" s="40">
        <v>13</v>
      </c>
      <c r="I74" s="42">
        <v>3.08</v>
      </c>
      <c r="K74" s="40">
        <v>71</v>
      </c>
      <c r="L74" s="43">
        <v>25.8</v>
      </c>
    </row>
    <row r="75" spans="1:12" ht="12.75">
      <c r="A75" s="48">
        <v>24</v>
      </c>
      <c r="B75" s="49">
        <f t="shared" si="2"/>
        <v>55.44</v>
      </c>
      <c r="C75" s="50">
        <v>305</v>
      </c>
      <c r="D75" s="54"/>
      <c r="E75" s="54"/>
      <c r="F75" s="54"/>
      <c r="H75" s="40">
        <v>14</v>
      </c>
      <c r="I75" s="42">
        <v>3.53</v>
      </c>
      <c r="K75" s="40">
        <v>72</v>
      </c>
      <c r="L75" s="43">
        <v>25.6</v>
      </c>
    </row>
    <row r="76" spans="1:12" ht="12.75">
      <c r="A76" s="48">
        <v>25</v>
      </c>
      <c r="B76" s="49">
        <f t="shared" si="2"/>
        <v>57.75</v>
      </c>
      <c r="C76" s="50">
        <v>315</v>
      </c>
      <c r="D76" s="54"/>
      <c r="E76" s="54"/>
      <c r="F76" s="54"/>
      <c r="H76" s="40">
        <v>15</v>
      </c>
      <c r="I76" s="42">
        <v>3.98</v>
      </c>
      <c r="K76" s="40">
        <v>73</v>
      </c>
      <c r="L76" s="43">
        <v>25.4</v>
      </c>
    </row>
    <row r="77" spans="1:12" ht="12.75">
      <c r="A77" s="48">
        <v>26</v>
      </c>
      <c r="B77" s="49">
        <f t="shared" si="2"/>
        <v>60.06</v>
      </c>
      <c r="C77" s="50">
        <v>319</v>
      </c>
      <c r="D77" s="54"/>
      <c r="E77" s="54"/>
      <c r="F77" s="54"/>
      <c r="H77" s="40">
        <v>16</v>
      </c>
      <c r="I77" s="42">
        <v>4.45</v>
      </c>
      <c r="K77" s="40">
        <v>74</v>
      </c>
      <c r="L77" s="43">
        <v>25.3</v>
      </c>
    </row>
    <row r="78" spans="1:12" ht="12.75">
      <c r="A78" s="48">
        <v>27</v>
      </c>
      <c r="B78" s="49">
        <f t="shared" si="2"/>
        <v>62.370000000000005</v>
      </c>
      <c r="C78" s="50">
        <v>323</v>
      </c>
      <c r="D78" s="54"/>
      <c r="E78" s="54"/>
      <c r="F78" s="54"/>
      <c r="H78" s="40">
        <v>17</v>
      </c>
      <c r="I78" s="42">
        <v>4.92</v>
      </c>
      <c r="K78" s="40">
        <v>75</v>
      </c>
      <c r="L78" s="43">
        <v>25.1</v>
      </c>
    </row>
    <row r="79" spans="1:12" ht="12.75">
      <c r="A79" s="48">
        <v>28</v>
      </c>
      <c r="B79" s="49">
        <f t="shared" si="2"/>
        <v>64.68</v>
      </c>
      <c r="C79" s="50">
        <v>327</v>
      </c>
      <c r="D79" s="54"/>
      <c r="E79" s="54"/>
      <c r="F79" s="54"/>
      <c r="H79" s="40">
        <v>18</v>
      </c>
      <c r="I79" s="42">
        <v>5.4</v>
      </c>
      <c r="K79" s="40">
        <v>76</v>
      </c>
      <c r="L79" s="43">
        <v>24.9</v>
      </c>
    </row>
    <row r="80" spans="1:12" ht="12.75">
      <c r="A80" s="48">
        <v>29</v>
      </c>
      <c r="B80" s="49">
        <f t="shared" si="2"/>
        <v>66.99</v>
      </c>
      <c r="C80" s="50">
        <v>331</v>
      </c>
      <c r="D80" s="54"/>
      <c r="E80" s="54"/>
      <c r="F80" s="54"/>
      <c r="H80" s="40">
        <v>19</v>
      </c>
      <c r="I80" s="42">
        <v>5.88</v>
      </c>
      <c r="K80" s="40">
        <v>77</v>
      </c>
      <c r="L80" s="43">
        <v>24.7</v>
      </c>
    </row>
    <row r="81" spans="1:12" ht="12.75">
      <c r="A81" s="48">
        <v>30</v>
      </c>
      <c r="B81" s="49">
        <f t="shared" si="2"/>
        <v>69.3</v>
      </c>
      <c r="C81" s="50">
        <v>335</v>
      </c>
      <c r="D81" s="54"/>
      <c r="E81" s="54"/>
      <c r="F81" s="54"/>
      <c r="H81" s="40">
        <v>20</v>
      </c>
      <c r="I81" s="42">
        <v>6.36</v>
      </c>
      <c r="K81" s="40">
        <v>78</v>
      </c>
      <c r="L81" s="43">
        <v>24.5</v>
      </c>
    </row>
    <row r="82" spans="1:12" ht="12.75">
      <c r="A82" s="48">
        <v>31</v>
      </c>
      <c r="B82" s="49">
        <f t="shared" si="2"/>
        <v>71.61</v>
      </c>
      <c r="C82" s="50">
        <v>344</v>
      </c>
      <c r="D82" s="54"/>
      <c r="E82" s="54"/>
      <c r="F82" s="54"/>
      <c r="H82" s="40">
        <v>21</v>
      </c>
      <c r="I82" s="42">
        <v>6.9</v>
      </c>
      <c r="K82" s="40">
        <v>79</v>
      </c>
      <c r="L82" s="43">
        <v>24.3</v>
      </c>
    </row>
    <row r="83" spans="1:12" ht="12.75">
      <c r="A83" s="48">
        <v>32</v>
      </c>
      <c r="B83" s="49">
        <f t="shared" si="2"/>
        <v>73.92</v>
      </c>
      <c r="C83" s="50">
        <v>353</v>
      </c>
      <c r="D83" s="54"/>
      <c r="E83" s="54"/>
      <c r="F83" s="54"/>
      <c r="H83" s="40">
        <v>22</v>
      </c>
      <c r="I83" s="42">
        <v>7.57</v>
      </c>
      <c r="K83" s="40">
        <v>80</v>
      </c>
      <c r="L83" s="43">
        <v>24.1</v>
      </c>
    </row>
    <row r="84" spans="1:12" ht="12.75">
      <c r="A84" s="48">
        <v>33</v>
      </c>
      <c r="B84" s="49">
        <f t="shared" si="2"/>
        <v>76.23</v>
      </c>
      <c r="C84" s="50">
        <v>361</v>
      </c>
      <c r="D84" s="54"/>
      <c r="E84" s="54"/>
      <c r="F84" s="54"/>
      <c r="H84" s="40">
        <v>23</v>
      </c>
      <c r="I84" s="42">
        <v>8.32</v>
      </c>
      <c r="K84" s="40">
        <v>81</v>
      </c>
      <c r="L84" s="43">
        <v>23.9</v>
      </c>
    </row>
    <row r="85" spans="1:12" ht="12.75">
      <c r="A85" s="48">
        <v>34</v>
      </c>
      <c r="B85" s="49">
        <f t="shared" si="2"/>
        <v>78.54</v>
      </c>
      <c r="C85" s="50">
        <v>370</v>
      </c>
      <c r="D85" s="54"/>
      <c r="E85" s="54"/>
      <c r="F85" s="54"/>
      <c r="H85" s="40">
        <v>24</v>
      </c>
      <c r="I85" s="42">
        <v>9.11</v>
      </c>
      <c r="K85" s="40">
        <v>82</v>
      </c>
      <c r="L85" s="43">
        <v>23.7</v>
      </c>
    </row>
    <row r="86" spans="1:12" ht="12.75">
      <c r="A86" s="48">
        <v>35</v>
      </c>
      <c r="B86" s="49">
        <f t="shared" si="2"/>
        <v>80.85000000000001</v>
      </c>
      <c r="C86" s="50">
        <v>379</v>
      </c>
      <c r="D86" s="54"/>
      <c r="E86" s="54"/>
      <c r="F86" s="54"/>
      <c r="H86" s="40">
        <v>25</v>
      </c>
      <c r="I86" s="42">
        <v>9.96</v>
      </c>
      <c r="K86" s="40">
        <v>83</v>
      </c>
      <c r="L86" s="43">
        <v>23.5</v>
      </c>
    </row>
    <row r="87" spans="1:12" ht="12.75">
      <c r="A87" s="48">
        <v>36</v>
      </c>
      <c r="B87" s="49">
        <f t="shared" si="2"/>
        <v>83.16</v>
      </c>
      <c r="C87" s="50">
        <v>380</v>
      </c>
      <c r="D87" s="54"/>
      <c r="E87" s="54"/>
      <c r="F87" s="54"/>
      <c r="K87" s="40">
        <v>84</v>
      </c>
      <c r="L87" s="43">
        <v>23.3</v>
      </c>
    </row>
    <row r="88" spans="1:12" ht="12.75">
      <c r="A88" s="48">
        <v>37</v>
      </c>
      <c r="B88" s="49">
        <f t="shared" si="2"/>
        <v>85.47</v>
      </c>
      <c r="C88" s="50">
        <v>381</v>
      </c>
      <c r="D88" s="54"/>
      <c r="E88" s="54"/>
      <c r="F88" s="54"/>
      <c r="K88" s="40">
        <v>85</v>
      </c>
      <c r="L88" s="43">
        <v>23.1</v>
      </c>
    </row>
    <row r="89" spans="1:12" ht="12.75">
      <c r="A89" s="48">
        <v>38</v>
      </c>
      <c r="B89" s="49">
        <f t="shared" si="2"/>
        <v>87.78</v>
      </c>
      <c r="C89" s="50">
        <v>383</v>
      </c>
      <c r="D89" s="54"/>
      <c r="E89" s="54"/>
      <c r="F89" s="54"/>
      <c r="K89" s="40">
        <v>86</v>
      </c>
      <c r="L89" s="43">
        <v>22.9</v>
      </c>
    </row>
    <row r="90" spans="1:12" ht="12.75">
      <c r="A90" s="48">
        <v>39</v>
      </c>
      <c r="B90" s="49">
        <f t="shared" si="2"/>
        <v>90.09</v>
      </c>
      <c r="C90" s="50">
        <v>384</v>
      </c>
      <c r="D90" s="54"/>
      <c r="E90" s="54"/>
      <c r="F90" s="54"/>
      <c r="K90" s="40">
        <v>87</v>
      </c>
      <c r="L90" s="43">
        <v>22.6</v>
      </c>
    </row>
    <row r="91" spans="1:12" ht="12.75">
      <c r="A91" s="48">
        <v>40</v>
      </c>
      <c r="B91" s="49">
        <f t="shared" si="2"/>
        <v>92.4</v>
      </c>
      <c r="C91" s="50">
        <v>385</v>
      </c>
      <c r="D91" s="54"/>
      <c r="E91" s="54"/>
      <c r="F91" s="54"/>
      <c r="K91" s="40">
        <v>88</v>
      </c>
      <c r="L91" s="43">
        <v>22.4</v>
      </c>
    </row>
    <row r="92" spans="1:12" ht="12.75">
      <c r="A92" s="48">
        <v>41</v>
      </c>
      <c r="B92" s="49">
        <f t="shared" si="2"/>
        <v>94.71000000000001</v>
      </c>
      <c r="C92" s="50">
        <v>394</v>
      </c>
      <c r="D92" s="54"/>
      <c r="E92" s="54"/>
      <c r="F92" s="54"/>
      <c r="K92" s="40">
        <v>89</v>
      </c>
      <c r="L92" s="43">
        <v>22.2</v>
      </c>
    </row>
    <row r="93" spans="1:12" ht="12.75">
      <c r="A93" s="48">
        <v>42</v>
      </c>
      <c r="B93" s="49">
        <f t="shared" si="2"/>
        <v>97.02</v>
      </c>
      <c r="C93" s="50">
        <v>403</v>
      </c>
      <c r="D93" s="54"/>
      <c r="E93" s="54"/>
      <c r="F93" s="54"/>
      <c r="K93" s="40">
        <v>90</v>
      </c>
      <c r="L93" s="43">
        <v>22</v>
      </c>
    </row>
    <row r="94" spans="1:12" ht="12.75">
      <c r="A94" s="48">
        <v>43</v>
      </c>
      <c r="B94" s="49">
        <f t="shared" si="2"/>
        <v>99.33</v>
      </c>
      <c r="C94" s="50">
        <v>411</v>
      </c>
      <c r="D94" s="54"/>
      <c r="E94" s="54"/>
      <c r="F94" s="54"/>
      <c r="K94" s="40">
        <v>91</v>
      </c>
      <c r="L94" s="43">
        <v>21.7</v>
      </c>
    </row>
    <row r="95" spans="1:12" ht="12.75">
      <c r="A95" s="48">
        <v>44</v>
      </c>
      <c r="B95" s="49">
        <f t="shared" si="2"/>
        <v>101.64</v>
      </c>
      <c r="C95" s="50">
        <v>420</v>
      </c>
      <c r="D95" s="54"/>
      <c r="E95" s="54"/>
      <c r="F95" s="54"/>
      <c r="K95" s="40">
        <v>92</v>
      </c>
      <c r="L95" s="43">
        <v>21.5</v>
      </c>
    </row>
    <row r="96" spans="1:12" ht="12.75">
      <c r="A96" s="48">
        <v>45</v>
      </c>
      <c r="B96" s="49">
        <f t="shared" si="2"/>
        <v>103.95</v>
      </c>
      <c r="C96" s="50">
        <v>429</v>
      </c>
      <c r="D96" s="54"/>
      <c r="E96" s="54"/>
      <c r="F96" s="54"/>
      <c r="K96" s="40">
        <v>93</v>
      </c>
      <c r="L96" s="43">
        <v>21.3</v>
      </c>
    </row>
    <row r="97" spans="11:12" ht="12.75">
      <c r="K97" s="40">
        <v>94</v>
      </c>
      <c r="L97" s="43">
        <v>21</v>
      </c>
    </row>
    <row r="98" spans="11:12" ht="12.75">
      <c r="K98" s="40">
        <v>95</v>
      </c>
      <c r="L98" s="43">
        <v>20.8</v>
      </c>
    </row>
    <row r="99" spans="11:12" ht="12.75">
      <c r="K99" s="40">
        <v>96</v>
      </c>
      <c r="L99" s="43">
        <v>20.5</v>
      </c>
    </row>
    <row r="100" spans="1:12" ht="12.75">
      <c r="A100" s="104" t="s">
        <v>137</v>
      </c>
      <c r="B100" s="104"/>
      <c r="C100" s="85"/>
      <c r="K100" s="40">
        <v>97</v>
      </c>
      <c r="L100" s="43">
        <v>20.3</v>
      </c>
    </row>
    <row r="101" spans="1:12" ht="12.75">
      <c r="A101" s="7" t="s">
        <v>138</v>
      </c>
      <c r="B101" s="7" t="s">
        <v>65</v>
      </c>
      <c r="C101" s="85"/>
      <c r="K101" s="40"/>
      <c r="L101" s="43"/>
    </row>
    <row r="102" spans="1:12" ht="12.75">
      <c r="A102" s="40">
        <v>0</v>
      </c>
      <c r="B102" s="42">
        <v>0</v>
      </c>
      <c r="K102" s="40">
        <v>98</v>
      </c>
      <c r="L102" s="43">
        <v>20.1</v>
      </c>
    </row>
    <row r="103" spans="1:12" ht="12.75">
      <c r="A103" s="40">
        <v>1</v>
      </c>
      <c r="B103" s="42">
        <v>0.289</v>
      </c>
      <c r="K103" s="40">
        <v>99</v>
      </c>
      <c r="L103" s="43">
        <v>19.8</v>
      </c>
    </row>
    <row r="104" spans="1:12" ht="12.75">
      <c r="A104" s="40">
        <v>2</v>
      </c>
      <c r="B104" s="42">
        <v>0.58</v>
      </c>
      <c r="K104" s="40">
        <v>100</v>
      </c>
      <c r="L104" s="43">
        <v>19.6</v>
      </c>
    </row>
    <row r="105" spans="1:12" ht="12.75">
      <c r="A105" s="40">
        <v>3</v>
      </c>
      <c r="B105" s="42">
        <v>0.87</v>
      </c>
      <c r="K105" s="40">
        <v>101</v>
      </c>
      <c r="L105" s="43">
        <v>19.3</v>
      </c>
    </row>
    <row r="106" spans="1:12" ht="12.75">
      <c r="A106" s="40">
        <v>4</v>
      </c>
      <c r="B106" s="42">
        <v>1.16</v>
      </c>
      <c r="K106" s="40">
        <v>102</v>
      </c>
      <c r="L106" s="43">
        <v>19</v>
      </c>
    </row>
    <row r="107" spans="1:12" ht="12.75">
      <c r="A107" s="40">
        <v>5</v>
      </c>
      <c r="B107" s="42">
        <v>1.44</v>
      </c>
      <c r="K107" s="40">
        <v>103</v>
      </c>
      <c r="L107" s="43">
        <v>18.8</v>
      </c>
    </row>
    <row r="108" spans="1:12" ht="12.75">
      <c r="A108" s="40">
        <v>6</v>
      </c>
      <c r="B108" s="42">
        <v>1.73</v>
      </c>
      <c r="K108" s="40">
        <v>104</v>
      </c>
      <c r="L108" s="43">
        <v>18.4</v>
      </c>
    </row>
    <row r="109" spans="1:12" ht="12.75">
      <c r="A109" s="40">
        <v>7</v>
      </c>
      <c r="B109" s="42">
        <v>2.02</v>
      </c>
      <c r="K109" s="40">
        <v>105</v>
      </c>
      <c r="L109" s="43">
        <v>18.1</v>
      </c>
    </row>
    <row r="110" spans="1:12" ht="12.75">
      <c r="A110" s="40">
        <v>8</v>
      </c>
      <c r="B110" s="42">
        <v>2.31</v>
      </c>
      <c r="K110" s="40">
        <v>106</v>
      </c>
      <c r="L110" s="43">
        <v>17.8</v>
      </c>
    </row>
    <row r="111" spans="1:12" ht="12.75">
      <c r="A111" s="40">
        <v>9</v>
      </c>
      <c r="B111" s="42">
        <v>2.6</v>
      </c>
      <c r="K111" s="40">
        <v>107</v>
      </c>
      <c r="L111" s="43">
        <v>17.4</v>
      </c>
    </row>
    <row r="112" spans="1:12" ht="12.75">
      <c r="A112" s="40">
        <v>10</v>
      </c>
      <c r="B112" s="42">
        <v>2.89</v>
      </c>
      <c r="K112" s="40">
        <v>108</v>
      </c>
      <c r="L112" s="43">
        <v>17.1</v>
      </c>
    </row>
    <row r="113" spans="1:12" ht="12.75">
      <c r="A113" s="40">
        <v>11</v>
      </c>
      <c r="B113" s="42">
        <v>3.18</v>
      </c>
      <c r="K113" s="40">
        <v>109</v>
      </c>
      <c r="L113" s="43">
        <v>16.7</v>
      </c>
    </row>
    <row r="114" spans="1:12" ht="12.75">
      <c r="A114" s="40">
        <v>12</v>
      </c>
      <c r="B114" s="42">
        <v>3.47</v>
      </c>
      <c r="K114" s="40">
        <v>110</v>
      </c>
      <c r="L114" s="43">
        <v>16.4</v>
      </c>
    </row>
    <row r="115" spans="1:12" ht="12.75">
      <c r="A115" s="40">
        <v>13</v>
      </c>
      <c r="B115" s="42">
        <v>3.75</v>
      </c>
      <c r="K115" s="40">
        <v>111</v>
      </c>
      <c r="L115" s="43">
        <v>16.1</v>
      </c>
    </row>
    <row r="116" spans="1:12" ht="12.75">
      <c r="A116" s="40">
        <v>14</v>
      </c>
      <c r="B116" s="42">
        <v>4.04</v>
      </c>
      <c r="K116" s="40">
        <v>112</v>
      </c>
      <c r="L116" s="43">
        <v>15.7</v>
      </c>
    </row>
    <row r="117" spans="1:12" ht="12.75">
      <c r="A117" s="40">
        <v>15</v>
      </c>
      <c r="B117" s="42">
        <v>4.33</v>
      </c>
      <c r="K117" s="40">
        <v>113</v>
      </c>
      <c r="L117" s="43">
        <v>15.3</v>
      </c>
    </row>
    <row r="118" spans="1:12" ht="12.75">
      <c r="A118" s="40">
        <v>16</v>
      </c>
      <c r="B118" s="42">
        <v>4.62</v>
      </c>
      <c r="K118" s="40">
        <v>114</v>
      </c>
      <c r="L118" s="43">
        <v>15</v>
      </c>
    </row>
    <row r="119" spans="1:12" ht="12.75">
      <c r="A119" s="40">
        <v>17</v>
      </c>
      <c r="B119" s="42">
        <v>4.91</v>
      </c>
      <c r="K119" s="40">
        <v>115</v>
      </c>
      <c r="L119" s="43">
        <v>14.6</v>
      </c>
    </row>
    <row r="120" spans="1:12" ht="12.75">
      <c r="A120" s="40">
        <v>18</v>
      </c>
      <c r="B120" s="42">
        <v>5.2</v>
      </c>
      <c r="K120" s="40">
        <v>116</v>
      </c>
      <c r="L120" s="43">
        <v>14.3</v>
      </c>
    </row>
    <row r="121" spans="1:12" ht="12.75">
      <c r="A121" s="40">
        <v>19</v>
      </c>
      <c r="B121" s="42">
        <v>5.49</v>
      </c>
      <c r="K121" s="40">
        <v>117</v>
      </c>
      <c r="L121" s="43">
        <v>13.9</v>
      </c>
    </row>
    <row r="122" spans="1:12" ht="12.75">
      <c r="A122" s="40">
        <v>20</v>
      </c>
      <c r="B122" s="42">
        <v>5.78</v>
      </c>
      <c r="K122" s="40">
        <v>118</v>
      </c>
      <c r="L122" s="43">
        <v>13.6</v>
      </c>
    </row>
    <row r="123" spans="1:12" ht="12.75">
      <c r="A123" s="40">
        <v>21</v>
      </c>
      <c r="B123" s="42">
        <v>5.86</v>
      </c>
      <c r="K123" s="40">
        <v>119</v>
      </c>
      <c r="L123" s="43">
        <v>13.2</v>
      </c>
    </row>
    <row r="124" spans="1:12" ht="12.75">
      <c r="A124" s="40">
        <v>22</v>
      </c>
      <c r="B124" s="42">
        <v>5.95</v>
      </c>
      <c r="K124" s="40">
        <v>120</v>
      </c>
      <c r="L124" s="43">
        <v>12.8</v>
      </c>
    </row>
    <row r="125" spans="1:12" ht="12.75">
      <c r="A125" s="40">
        <v>23</v>
      </c>
      <c r="B125" s="42">
        <v>6.05</v>
      </c>
      <c r="K125" s="40">
        <v>121</v>
      </c>
      <c r="L125" s="43">
        <v>12.5</v>
      </c>
    </row>
    <row r="126" spans="1:12" ht="12.75">
      <c r="A126" s="40">
        <v>24</v>
      </c>
      <c r="B126" s="42">
        <v>6.15</v>
      </c>
      <c r="K126" s="40">
        <v>122</v>
      </c>
      <c r="L126" s="43">
        <v>12.1</v>
      </c>
    </row>
    <row r="127" spans="1:12" ht="12.75">
      <c r="A127" s="40">
        <v>25</v>
      </c>
      <c r="B127" s="42">
        <v>6.24</v>
      </c>
      <c r="K127" s="40">
        <v>123</v>
      </c>
      <c r="L127" s="43">
        <v>11.8</v>
      </c>
    </row>
    <row r="128" spans="1:12" ht="12.75">
      <c r="A128" s="40">
        <v>26</v>
      </c>
      <c r="B128" s="42">
        <v>6.34</v>
      </c>
      <c r="K128" s="40">
        <v>124</v>
      </c>
      <c r="L128" s="43">
        <v>11.4</v>
      </c>
    </row>
    <row r="129" spans="1:12" ht="12.75">
      <c r="A129" s="40">
        <v>27</v>
      </c>
      <c r="B129" s="42">
        <v>6.44</v>
      </c>
      <c r="K129" s="40">
        <v>125</v>
      </c>
      <c r="L129" s="43">
        <v>11</v>
      </c>
    </row>
    <row r="130" spans="1:12" ht="12.75">
      <c r="A130" s="40">
        <v>28</v>
      </c>
      <c r="B130" s="42">
        <v>6.54</v>
      </c>
      <c r="K130" s="40">
        <v>126</v>
      </c>
      <c r="L130" s="43">
        <v>10.6</v>
      </c>
    </row>
    <row r="131" spans="1:12" ht="12.75">
      <c r="A131" s="40">
        <v>29</v>
      </c>
      <c r="B131" s="42">
        <v>6.65</v>
      </c>
      <c r="K131" s="40">
        <v>127</v>
      </c>
      <c r="L131" s="43">
        <v>10.2</v>
      </c>
    </row>
    <row r="132" spans="1:12" ht="12.75">
      <c r="A132" s="40">
        <v>30</v>
      </c>
      <c r="B132" s="42">
        <v>6.76</v>
      </c>
      <c r="K132" s="40">
        <v>128</v>
      </c>
      <c r="L132" s="43">
        <v>9.8</v>
      </c>
    </row>
    <row r="133" spans="11:12" ht="12.75">
      <c r="K133" s="40">
        <v>129</v>
      </c>
      <c r="L133" s="43">
        <v>9.3</v>
      </c>
    </row>
    <row r="134" spans="11:12" ht="12.75">
      <c r="K134" s="40">
        <v>130</v>
      </c>
      <c r="L134" s="43">
        <v>8.8</v>
      </c>
    </row>
    <row r="135" spans="1:12" ht="12.75">
      <c r="A135" s="104" t="s">
        <v>139</v>
      </c>
      <c r="B135" s="104"/>
      <c r="K135" s="40">
        <v>131</v>
      </c>
      <c r="L135" s="43">
        <v>8.2</v>
      </c>
    </row>
    <row r="136" spans="1:12" ht="12.75">
      <c r="A136" s="7" t="s">
        <v>138</v>
      </c>
      <c r="B136" s="7" t="s">
        <v>65</v>
      </c>
      <c r="K136" s="40">
        <v>132</v>
      </c>
      <c r="L136" s="43">
        <v>7.7</v>
      </c>
    </row>
    <row r="137" spans="1:12" ht="12.75">
      <c r="A137" s="40">
        <v>0</v>
      </c>
      <c r="B137" s="42">
        <v>0</v>
      </c>
      <c r="K137" s="40">
        <v>133</v>
      </c>
      <c r="L137" s="43">
        <v>7.1</v>
      </c>
    </row>
    <row r="138" spans="1:12" ht="12.75">
      <c r="A138" s="40">
        <v>1</v>
      </c>
      <c r="B138" s="42">
        <v>0.35</v>
      </c>
      <c r="K138" s="40">
        <v>134</v>
      </c>
      <c r="L138" s="43">
        <v>6.5</v>
      </c>
    </row>
    <row r="139" spans="1:12" ht="12.75">
      <c r="A139" s="40">
        <v>2</v>
      </c>
      <c r="B139" s="42">
        <v>0.69</v>
      </c>
      <c r="K139" s="40">
        <v>135</v>
      </c>
      <c r="L139" s="43">
        <v>5.9</v>
      </c>
    </row>
    <row r="140" spans="1:12" ht="12.75">
      <c r="A140" s="40">
        <v>3</v>
      </c>
      <c r="B140" s="42">
        <v>1.04</v>
      </c>
      <c r="K140" s="40">
        <v>136</v>
      </c>
      <c r="L140" s="43">
        <v>5.2</v>
      </c>
    </row>
    <row r="141" spans="1:12" ht="12.75">
      <c r="A141" s="40">
        <v>4</v>
      </c>
      <c r="B141" s="42">
        <v>1.39</v>
      </c>
      <c r="K141" s="40">
        <v>137</v>
      </c>
      <c r="L141" s="43">
        <v>4.6</v>
      </c>
    </row>
    <row r="142" spans="1:12" ht="12.75">
      <c r="A142" s="40">
        <v>5</v>
      </c>
      <c r="B142" s="42">
        <v>1.73</v>
      </c>
      <c r="K142" s="40">
        <v>138</v>
      </c>
      <c r="L142" s="43">
        <v>3.9</v>
      </c>
    </row>
    <row r="143" spans="1:12" ht="12.75">
      <c r="A143" s="40">
        <v>6</v>
      </c>
      <c r="B143" s="42">
        <v>2.08</v>
      </c>
      <c r="K143" s="40">
        <v>139</v>
      </c>
      <c r="L143" s="43">
        <v>3.3</v>
      </c>
    </row>
    <row r="144" spans="1:12" ht="12.75">
      <c r="A144" s="40">
        <v>7</v>
      </c>
      <c r="B144" s="42">
        <v>2.43</v>
      </c>
      <c r="K144" s="40">
        <v>140</v>
      </c>
      <c r="L144" s="43">
        <v>2.6</v>
      </c>
    </row>
    <row r="145" spans="1:12" ht="12.75">
      <c r="A145" s="40">
        <v>8</v>
      </c>
      <c r="B145" s="42">
        <v>2.77</v>
      </c>
      <c r="K145" s="40">
        <v>141</v>
      </c>
      <c r="L145" s="43">
        <v>1.9</v>
      </c>
    </row>
    <row r="146" spans="1:12" ht="12.75">
      <c r="A146" s="40">
        <v>9</v>
      </c>
      <c r="B146" s="42">
        <v>3.12</v>
      </c>
      <c r="K146" s="40">
        <v>142</v>
      </c>
      <c r="L146" s="43">
        <v>1.2</v>
      </c>
    </row>
    <row r="147" spans="1:12" ht="12.75">
      <c r="A147" s="40">
        <v>10</v>
      </c>
      <c r="B147" s="42">
        <v>3.47</v>
      </c>
      <c r="K147" s="40">
        <v>143</v>
      </c>
      <c r="L147" s="43">
        <v>0.5</v>
      </c>
    </row>
    <row r="148" spans="1:12" ht="12.75">
      <c r="A148" s="40">
        <v>11</v>
      </c>
      <c r="B148" s="42">
        <v>3.81</v>
      </c>
      <c r="K148" s="40">
        <v>144</v>
      </c>
      <c r="L148" s="43">
        <v>0</v>
      </c>
    </row>
    <row r="149" spans="1:2" ht="12.75">
      <c r="A149" s="40">
        <v>12</v>
      </c>
      <c r="B149" s="42">
        <v>4.16</v>
      </c>
    </row>
    <row r="150" spans="1:2" ht="12.75">
      <c r="A150" s="40">
        <v>13</v>
      </c>
      <c r="B150" s="42">
        <v>4.5</v>
      </c>
    </row>
    <row r="151" spans="1:2" ht="12.75">
      <c r="A151" s="40">
        <v>14</v>
      </c>
      <c r="B151" s="42">
        <v>4.85</v>
      </c>
    </row>
    <row r="152" spans="1:2" ht="12.75">
      <c r="A152" s="40">
        <v>15</v>
      </c>
      <c r="B152" s="42">
        <v>5.2</v>
      </c>
    </row>
    <row r="153" spans="1:2" ht="12.75">
      <c r="A153" s="40">
        <v>16</v>
      </c>
      <c r="B153" s="42">
        <v>5.54</v>
      </c>
    </row>
    <row r="154" spans="1:2" ht="12.75">
      <c r="A154" s="40">
        <v>17</v>
      </c>
      <c r="B154" s="42">
        <v>5.89</v>
      </c>
    </row>
    <row r="155" spans="1:2" ht="12.75">
      <c r="A155" s="40">
        <v>18</v>
      </c>
      <c r="B155" s="42">
        <v>6.24</v>
      </c>
    </row>
    <row r="156" spans="1:2" ht="12.75">
      <c r="A156" s="40">
        <v>19</v>
      </c>
      <c r="B156" s="42">
        <v>6.58</v>
      </c>
    </row>
    <row r="157" spans="1:2" ht="12.75">
      <c r="A157" s="40">
        <v>20</v>
      </c>
      <c r="B157" s="42">
        <v>6.93</v>
      </c>
    </row>
    <row r="158" spans="1:2" ht="12.75">
      <c r="A158" s="40">
        <v>21</v>
      </c>
      <c r="B158" s="42">
        <v>7.05</v>
      </c>
    </row>
    <row r="159" spans="1:2" ht="12.75">
      <c r="A159" s="40">
        <v>22</v>
      </c>
      <c r="B159" s="42">
        <v>7.16</v>
      </c>
    </row>
    <row r="160" spans="1:2" ht="12.75">
      <c r="A160" s="40">
        <v>23</v>
      </c>
      <c r="B160" s="42">
        <v>7.28</v>
      </c>
    </row>
    <row r="161" spans="1:2" ht="12.75">
      <c r="A161" s="40">
        <v>24</v>
      </c>
      <c r="B161" s="42">
        <v>7.39</v>
      </c>
    </row>
    <row r="162" spans="1:2" ht="12.75">
      <c r="A162" s="40">
        <v>25</v>
      </c>
      <c r="B162" s="42">
        <v>7.51</v>
      </c>
    </row>
    <row r="163" spans="1:2" ht="12.75">
      <c r="A163" s="40">
        <v>26</v>
      </c>
      <c r="B163" s="42">
        <v>7.62</v>
      </c>
    </row>
    <row r="164" spans="1:2" ht="12.75">
      <c r="A164" s="40">
        <v>27</v>
      </c>
      <c r="B164" s="42">
        <v>7.74</v>
      </c>
    </row>
    <row r="165" spans="1:2" ht="12.75">
      <c r="A165" s="40">
        <v>28</v>
      </c>
      <c r="B165" s="42">
        <v>7.85</v>
      </c>
    </row>
    <row r="166" spans="1:2" ht="12.75">
      <c r="A166" s="40">
        <v>29</v>
      </c>
      <c r="B166" s="42">
        <v>7.97</v>
      </c>
    </row>
    <row r="167" spans="1:2" ht="12.75">
      <c r="A167" s="40">
        <v>30</v>
      </c>
      <c r="B167" s="42">
        <v>8.09</v>
      </c>
    </row>
    <row r="170" spans="1:2" ht="12.75">
      <c r="A170" s="104" t="s">
        <v>140</v>
      </c>
      <c r="B170" s="105"/>
    </row>
    <row r="171" spans="1:2" ht="12.75">
      <c r="A171" s="7" t="s">
        <v>141</v>
      </c>
      <c r="B171" s="8" t="s">
        <v>65</v>
      </c>
    </row>
    <row r="172" spans="1:2" ht="12.75">
      <c r="A172" s="40">
        <v>0</v>
      </c>
      <c r="B172" s="42">
        <v>0</v>
      </c>
    </row>
    <row r="173" spans="1:2" ht="12.75">
      <c r="A173" s="40">
        <v>1</v>
      </c>
      <c r="B173" s="42">
        <v>0</v>
      </c>
    </row>
    <row r="174" spans="1:2" ht="12.75">
      <c r="A174" s="40">
        <v>2</v>
      </c>
      <c r="B174" s="42">
        <f>IF(Input!F23=2,(VLOOKUP(ROUNDUP(Input!F43,0),A102:B132,2,FALSE)),0)</f>
        <v>0</v>
      </c>
    </row>
    <row r="175" spans="1:2" ht="12.75">
      <c r="A175" s="40">
        <v>3</v>
      </c>
      <c r="B175" s="42">
        <f>IF(Input!F23=3,(VLOOKUP(ROUNDUP(Input!F43,0),A102:B132,2,FALSE)),0)</f>
        <v>0</v>
      </c>
    </row>
    <row r="176" spans="1:2" ht="12.75">
      <c r="A176" s="40">
        <v>4</v>
      </c>
      <c r="B176" s="42">
        <f>IF(Input!F23=4,(VLOOKUP(ROUNDUP(Input!F43,0),A102:B132,2,FALSE)),0)</f>
        <v>0</v>
      </c>
    </row>
    <row r="177" spans="1:2" ht="12.75">
      <c r="A177" s="40">
        <v>5</v>
      </c>
      <c r="B177" s="42">
        <f>IF(Input!F23=5,(VLOOKUP(ROUNDUP(Input!F43,0),A137:B167,2,FALSE)),0)</f>
        <v>0</v>
      </c>
    </row>
    <row r="178" spans="1:2" ht="12.75">
      <c r="A178" s="40">
        <v>6</v>
      </c>
      <c r="B178" s="42">
        <f>IF(Input!F23=6,(VLOOKUP(ROUNDUP(Input!F43,0),A137:B167,2,FALSE)),0)</f>
        <v>0</v>
      </c>
    </row>
    <row r="179" spans="1:2" ht="12.75">
      <c r="A179" s="7" t="s">
        <v>142</v>
      </c>
      <c r="B179" s="14">
        <f>SUM(B172:B178)</f>
        <v>0</v>
      </c>
    </row>
  </sheetData>
  <sheetProtection/>
  <mergeCells count="10">
    <mergeCell ref="A170:B170"/>
    <mergeCell ref="A59:B59"/>
    <mergeCell ref="H1:I1"/>
    <mergeCell ref="H59:I59"/>
    <mergeCell ref="K1:L1"/>
    <mergeCell ref="A1:C1"/>
    <mergeCell ref="A57:H57"/>
    <mergeCell ref="A58:H58"/>
    <mergeCell ref="A100:B100"/>
    <mergeCell ref="A135:B13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D20"/>
  <sheetViews>
    <sheetView zoomScalePageLayoutView="0" workbookViewId="0" topLeftCell="A4">
      <selection activeCell="C14" sqref="C14"/>
    </sheetView>
  </sheetViews>
  <sheetFormatPr defaultColWidth="9.140625" defaultRowHeight="12.75"/>
  <cols>
    <col min="2" max="2" width="42.00390625" style="0" customWidth="1"/>
    <col min="3" max="3" width="15.57421875" style="0" customWidth="1"/>
  </cols>
  <sheetData>
    <row r="2" spans="2:3" ht="12.75">
      <c r="B2" s="104" t="s">
        <v>85</v>
      </c>
      <c r="C2" s="104"/>
    </row>
    <row r="3" spans="2:3" ht="12.75">
      <c r="B3" s="56" t="s">
        <v>84</v>
      </c>
      <c r="C3" s="57">
        <f>VLOOKUP(Input!F49,'Component sizing'!B3:F53,5,FALSE)</f>
        <v>1.6099999999999999</v>
      </c>
    </row>
    <row r="4" spans="2:3" ht="12.75">
      <c r="B4" s="5" t="s">
        <v>88</v>
      </c>
      <c r="C4" s="58">
        <f>(C3/2*C3/2*3.14*(Input!F62+Input!F68)*12)*0.00433</f>
        <v>21.674266662299992</v>
      </c>
    </row>
    <row r="5" spans="2:3" ht="12.75">
      <c r="B5" s="5" t="s">
        <v>86</v>
      </c>
      <c r="C5" s="57">
        <f>VLOOKUP(Input!F53,'Component sizing'!B3:F53,5,FALSE)</f>
        <v>1.049</v>
      </c>
    </row>
    <row r="6" spans="2:3" ht="12.75">
      <c r="B6" s="5" t="s">
        <v>89</v>
      </c>
      <c r="C6" s="58">
        <f>(C5/2*C5/2*3.14*(Input!F74)*12)*0.00433</f>
        <v>8.976763245719999</v>
      </c>
    </row>
    <row r="7" spans="2:3" ht="12.75">
      <c r="B7" s="5" t="s">
        <v>87</v>
      </c>
      <c r="C7" s="57">
        <v>0.55</v>
      </c>
    </row>
    <row r="8" spans="2:3" ht="12.75">
      <c r="B8" s="5" t="s">
        <v>90</v>
      </c>
      <c r="C8" s="58">
        <f>(C7/2*C7/2*3.14*(Input!F27)*12)*0.00433</f>
        <v>7.711594687500002</v>
      </c>
    </row>
    <row r="9" spans="2:3" ht="12.75">
      <c r="B9" s="5" t="s">
        <v>91</v>
      </c>
      <c r="C9" s="58">
        <f>C4+C6+C8</f>
        <v>38.362624595519996</v>
      </c>
    </row>
    <row r="12" spans="2:4" ht="12.75">
      <c r="B12" s="68" t="s">
        <v>127</v>
      </c>
      <c r="C12" s="5"/>
      <c r="D12" s="7" t="s">
        <v>135</v>
      </c>
    </row>
    <row r="13" spans="2:4" ht="12.75">
      <c r="B13" s="5" t="s">
        <v>133</v>
      </c>
      <c r="C13" s="5">
        <f>IF(D13=TRUE,1,(IF(Input!F16&gt;1500,1,0)))</f>
        <v>0</v>
      </c>
      <c r="D13" s="5" t="b">
        <f>ISERROR(Input!F16&gt;1500)</f>
        <v>0</v>
      </c>
    </row>
    <row r="14" spans="2:4" ht="12.75">
      <c r="B14" s="5" t="s">
        <v>130</v>
      </c>
      <c r="C14" s="5">
        <f>IF(D14=TRUE,1,(IF(Input!F36&lt;10,1,(IF(Input!F36&gt;45,1,0)))))</f>
        <v>0</v>
      </c>
      <c r="D14" s="5" t="b">
        <f>ISERROR(Input!F36&lt;10)</f>
        <v>0</v>
      </c>
    </row>
    <row r="15" spans="2:4" ht="12.75">
      <c r="B15" s="5" t="s">
        <v>131</v>
      </c>
      <c r="C15" s="5">
        <f>IF(D15=TRUE,1,(IF(Input!F40&gt;Input!F39,1,0)))</f>
        <v>0</v>
      </c>
      <c r="D15" s="5" t="b">
        <f>ISERROR(Input!F40&gt;Input!F39)</f>
        <v>0</v>
      </c>
    </row>
    <row r="16" spans="2:4" ht="12.75">
      <c r="B16" s="5" t="s">
        <v>132</v>
      </c>
      <c r="C16" s="5">
        <f>IF(D16=TRUE,1,(IF(Input!F43&gt;Input!F89,1,0)))</f>
        <v>0</v>
      </c>
      <c r="D16" s="5" t="b">
        <f>ISERROR(Input!F43&gt;Input!F89)</f>
        <v>0</v>
      </c>
    </row>
    <row r="17" spans="2:4" ht="12.75">
      <c r="B17" s="5" t="s">
        <v>136</v>
      </c>
      <c r="C17" s="5">
        <f>IF(D17=TRUE,1,(IF((Input!F23&gt;6),1,0)))</f>
        <v>0</v>
      </c>
      <c r="D17" s="5" t="b">
        <f>ISERROR(Input!F23&gt;6)</f>
        <v>0</v>
      </c>
    </row>
    <row r="18" spans="2:4" ht="12.75">
      <c r="B18" s="5" t="s">
        <v>144</v>
      </c>
      <c r="C18" s="5">
        <f>IF(D18=TRUE,1,(IF((Input!F18&gt;12000),1,0)))</f>
        <v>0</v>
      </c>
      <c r="D18" s="5" t="b">
        <f>ISERROR(Input!F18&gt;12000)</f>
        <v>0</v>
      </c>
    </row>
    <row r="19" spans="2:4" ht="12.75">
      <c r="B19" s="5" t="s">
        <v>154</v>
      </c>
      <c r="C19" s="5">
        <f>IF(D19=TRUE,1,(IF(Input!F102&lt;1,1,0)))</f>
        <v>0</v>
      </c>
      <c r="D19" s="5" t="b">
        <f>ISERROR(Input!F102&lt;1)</f>
        <v>0</v>
      </c>
    </row>
    <row r="20" spans="2:4" ht="12.75">
      <c r="B20" s="68" t="s">
        <v>134</v>
      </c>
      <c r="C20" s="68">
        <f>MAX(C13:C19)</f>
        <v>0</v>
      </c>
      <c r="D20" s="5"/>
    </row>
  </sheetData>
  <sheetProtection/>
  <mergeCells count="1">
    <mergeCell ref="B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Norweco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Meyer</dc:creator>
  <cp:keywords/>
  <dc:description/>
  <cp:lastModifiedBy>James Meyer</cp:lastModifiedBy>
  <cp:lastPrinted>2007-11-02T17:07:41Z</cp:lastPrinted>
  <dcterms:created xsi:type="dcterms:W3CDTF">2007-10-26T12:15:22Z</dcterms:created>
  <dcterms:modified xsi:type="dcterms:W3CDTF">2008-04-17T12:58:59Z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1341085503</vt:i4>
  </property>
  <property fmtid="{D5CDD505-2E9C-101B-9397-08002B2CF9AE}" pid="3" name="_EmailSubject">
    <vt:lpwstr>Website additions</vt:lpwstr>
  </property>
  <property fmtid="{D5CDD505-2E9C-101B-9397-08002B2CF9AE}" pid="4" name="_AuthorEmail">
    <vt:lpwstr>jmeyer@norweco.com</vt:lpwstr>
  </property>
  <property fmtid="{D5CDD505-2E9C-101B-9397-08002B2CF9AE}" pid="5" name="_AuthorEmailDisplayName">
    <vt:lpwstr>James Meyer</vt:lpwstr>
  </property>
  <property fmtid="{D5CDD505-2E9C-101B-9397-08002B2CF9AE}" pid="6" name="_ReviewingToolsShownOnce">
    <vt:lpwstr/>
  </property>
</Properties>
</file>